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5" yWindow="45" windowWidth="12255" windowHeight="4905"/>
  </bookViews>
  <sheets>
    <sheet name="5-Year Capital" sheetId="5" r:id="rId1"/>
  </sheets>
  <definedNames>
    <definedName name="_xlnm._FilterDatabase" localSheetId="0" hidden="1">'5-Year Capital'!$A$3:$N$440</definedName>
    <definedName name="l">#REF!</definedName>
    <definedName name="_xlnm.Print_Area" localSheetId="0">'5-Year Capital'!$A$4:$H$440</definedName>
    <definedName name="_xlnm.Print_Titles" localSheetId="0">'5-Year Capital'!$1:$3</definedName>
  </definedNames>
  <calcPr calcId="145621" concurrentCalc="0"/>
</workbook>
</file>

<file path=xl/calcChain.xml><?xml version="1.0" encoding="utf-8"?>
<calcChain xmlns="http://schemas.openxmlformats.org/spreadsheetml/2006/main">
  <c r="H440" i="5" l="1"/>
  <c r="G440" i="5"/>
  <c r="F440" i="5"/>
  <c r="E440" i="5"/>
  <c r="D440" i="5"/>
  <c r="C440" i="5"/>
  <c r="C352" i="5"/>
  <c r="C278" i="5"/>
  <c r="C223" i="5"/>
  <c r="C328" i="5"/>
  <c r="H328" i="5"/>
  <c r="C285" i="5"/>
  <c r="H285" i="5"/>
  <c r="C43" i="5"/>
  <c r="H43" i="5"/>
  <c r="C187" i="5"/>
  <c r="C183" i="5"/>
  <c r="C175" i="5"/>
  <c r="H175" i="5"/>
  <c r="C112" i="5"/>
  <c r="H112" i="5"/>
  <c r="C168" i="5"/>
  <c r="C144" i="5"/>
  <c r="H144" i="5"/>
  <c r="H145" i="5"/>
  <c r="C140" i="5"/>
  <c r="H140" i="5"/>
  <c r="C106" i="5"/>
  <c r="C107" i="5"/>
  <c r="C67" i="5"/>
  <c r="C31" i="5"/>
  <c r="C32" i="5"/>
  <c r="C215" i="5"/>
  <c r="H215" i="5"/>
  <c r="C216" i="5"/>
  <c r="C214" i="5"/>
  <c r="C207" i="5"/>
  <c r="C162" i="5"/>
  <c r="H162" i="5"/>
  <c r="C165" i="5"/>
  <c r="H165" i="5"/>
  <c r="C163" i="5"/>
  <c r="C150" i="5"/>
  <c r="H150" i="5"/>
  <c r="C135" i="5"/>
  <c r="H135" i="5"/>
  <c r="C54" i="5"/>
  <c r="C46" i="5"/>
  <c r="C53" i="5"/>
  <c r="H53" i="5"/>
  <c r="C42" i="5"/>
  <c r="H42" i="5"/>
  <c r="C57" i="5"/>
  <c r="H57" i="5"/>
  <c r="C59" i="5"/>
  <c r="H59" i="5"/>
  <c r="C55" i="5"/>
  <c r="H55" i="5"/>
  <c r="C65" i="5"/>
  <c r="H65" i="5"/>
  <c r="C61" i="5"/>
  <c r="H61" i="5"/>
  <c r="C49" i="5"/>
  <c r="H49" i="5"/>
  <c r="C41" i="5"/>
  <c r="H41" i="5"/>
  <c r="C38" i="5"/>
  <c r="C166" i="5"/>
  <c r="H166" i="5"/>
  <c r="C157" i="5"/>
  <c r="C167" i="5"/>
  <c r="H167" i="5"/>
  <c r="C243" i="5"/>
  <c r="H243" i="5"/>
  <c r="C265" i="5"/>
  <c r="H265" i="5"/>
  <c r="C242" i="5"/>
  <c r="C241" i="5"/>
  <c r="H241" i="5"/>
  <c r="C240" i="5"/>
  <c r="H240" i="5"/>
  <c r="C239" i="5"/>
  <c r="H239" i="5"/>
  <c r="C238" i="5"/>
  <c r="C230" i="5"/>
  <c r="H230" i="5"/>
  <c r="C229" i="5"/>
  <c r="H229" i="5"/>
  <c r="C254" i="5"/>
  <c r="H254" i="5"/>
  <c r="C226" i="5"/>
  <c r="H331" i="5"/>
  <c r="C287" i="5"/>
  <c r="H287" i="5"/>
  <c r="C290" i="5"/>
  <c r="C281" i="5"/>
  <c r="H281" i="5"/>
  <c r="C404" i="5"/>
  <c r="C418" i="5"/>
  <c r="C387" i="5"/>
  <c r="C388" i="5"/>
  <c r="H375" i="5"/>
  <c r="C36" i="5"/>
  <c r="H36" i="5"/>
  <c r="G221" i="5"/>
  <c r="F221" i="5"/>
  <c r="E221" i="5"/>
  <c r="D221" i="5"/>
  <c r="G209" i="5"/>
  <c r="H196" i="5"/>
  <c r="H195" i="5"/>
  <c r="H190" i="5"/>
  <c r="H189" i="5"/>
  <c r="F208" i="5"/>
  <c r="F209" i="5"/>
  <c r="E208" i="5"/>
  <c r="E209" i="5"/>
  <c r="D208" i="5"/>
  <c r="C208" i="5"/>
  <c r="G276" i="5"/>
  <c r="F276" i="5"/>
  <c r="E276" i="5"/>
  <c r="D276" i="5"/>
  <c r="D278" i="5"/>
  <c r="H275" i="5"/>
  <c r="H274" i="5"/>
  <c r="H273" i="5"/>
  <c r="H272" i="5"/>
  <c r="H271" i="5"/>
  <c r="H270" i="5"/>
  <c r="H269" i="5"/>
  <c r="H268" i="5"/>
  <c r="H267" i="5"/>
  <c r="H266" i="5"/>
  <c r="H264" i="5"/>
  <c r="H263" i="5"/>
  <c r="H262" i="5"/>
  <c r="H261" i="5"/>
  <c r="H260" i="5"/>
  <c r="H259" i="5"/>
  <c r="H258" i="5"/>
  <c r="H257" i="5"/>
  <c r="H256" i="5"/>
  <c r="H255" i="5"/>
  <c r="F251" i="5"/>
  <c r="E251" i="5"/>
  <c r="D251" i="5"/>
  <c r="H250" i="5"/>
  <c r="H249" i="5"/>
  <c r="H248" i="5"/>
  <c r="H247" i="5"/>
  <c r="H246" i="5"/>
  <c r="H245" i="5"/>
  <c r="H244" i="5"/>
  <c r="H242" i="5"/>
  <c r="H238" i="5"/>
  <c r="H237" i="5"/>
  <c r="G236" i="5"/>
  <c r="G251" i="5"/>
  <c r="G233" i="5"/>
  <c r="F233" i="5"/>
  <c r="E233" i="5"/>
  <c r="D233" i="5"/>
  <c r="H232" i="5"/>
  <c r="H231" i="5"/>
  <c r="H228" i="5"/>
  <c r="H227" i="5"/>
  <c r="H226" i="5"/>
  <c r="H177" i="5"/>
  <c r="H176" i="5"/>
  <c r="H178" i="5"/>
  <c r="D32" i="5"/>
  <c r="D68" i="5"/>
  <c r="D107" i="5"/>
  <c r="D171" i="5"/>
  <c r="D141" i="5"/>
  <c r="D145" i="5"/>
  <c r="D169" i="5"/>
  <c r="D436" i="5"/>
  <c r="D428" i="5"/>
  <c r="D418" i="5"/>
  <c r="D401" i="5"/>
  <c r="D388" i="5"/>
  <c r="D350" i="5"/>
  <c r="D346" i="5"/>
  <c r="D321" i="5"/>
  <c r="D315" i="5"/>
  <c r="D301" i="5"/>
  <c r="E32" i="5"/>
  <c r="E68" i="5"/>
  <c r="E107" i="5"/>
  <c r="E141" i="5"/>
  <c r="E145" i="5"/>
  <c r="E169" i="5"/>
  <c r="E436" i="5"/>
  <c r="E428" i="5"/>
  <c r="E418" i="5"/>
  <c r="E401" i="5"/>
  <c r="E388" i="5"/>
  <c r="E350" i="5"/>
  <c r="E346" i="5"/>
  <c r="E315" i="5"/>
  <c r="E301" i="5"/>
  <c r="F32" i="5"/>
  <c r="F68" i="5"/>
  <c r="F107" i="5"/>
  <c r="F141" i="5"/>
  <c r="F145" i="5"/>
  <c r="F169" i="5"/>
  <c r="F436" i="5"/>
  <c r="F428" i="5"/>
  <c r="F418" i="5"/>
  <c r="F401" i="5"/>
  <c r="F388" i="5"/>
  <c r="F350" i="5"/>
  <c r="F346" i="5"/>
  <c r="F315" i="5"/>
  <c r="F301" i="5"/>
  <c r="G32" i="5"/>
  <c r="G68" i="5"/>
  <c r="G107" i="5"/>
  <c r="G141" i="5"/>
  <c r="G145" i="5"/>
  <c r="G169" i="5"/>
  <c r="G436" i="5"/>
  <c r="G428" i="5"/>
  <c r="G418" i="5"/>
  <c r="G401" i="5"/>
  <c r="G388" i="5"/>
  <c r="G350" i="5"/>
  <c r="G346" i="5"/>
  <c r="G315" i="5"/>
  <c r="G301" i="5"/>
  <c r="H148" i="5"/>
  <c r="H149" i="5"/>
  <c r="H151" i="5"/>
  <c r="H152" i="5"/>
  <c r="H153" i="5"/>
  <c r="H154" i="5"/>
  <c r="H155" i="5"/>
  <c r="H156" i="5"/>
  <c r="H157" i="5"/>
  <c r="H158" i="5"/>
  <c r="H159" i="5"/>
  <c r="H160" i="5"/>
  <c r="H161" i="5"/>
  <c r="H163" i="5"/>
  <c r="H16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5" i="5"/>
  <c r="H37" i="5"/>
  <c r="H39" i="5"/>
  <c r="H40" i="5"/>
  <c r="H44" i="5"/>
  <c r="H45" i="5"/>
  <c r="H46" i="5"/>
  <c r="H47" i="5"/>
  <c r="H48" i="5"/>
  <c r="H50" i="5"/>
  <c r="H51" i="5"/>
  <c r="H52" i="5"/>
  <c r="H54" i="5"/>
  <c r="H56" i="5"/>
  <c r="H58" i="5"/>
  <c r="H60" i="5"/>
  <c r="H62" i="5"/>
  <c r="H63" i="5"/>
  <c r="H64" i="5"/>
  <c r="H66" i="5"/>
  <c r="H67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10" i="5"/>
  <c r="H111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6" i="5"/>
  <c r="H137" i="5"/>
  <c r="H138" i="5"/>
  <c r="H139" i="5"/>
  <c r="H213" i="5"/>
  <c r="H217" i="5"/>
  <c r="H218" i="5"/>
  <c r="H219" i="5"/>
  <c r="H220" i="5"/>
  <c r="H179" i="5"/>
  <c r="H180" i="5"/>
  <c r="H181" i="5"/>
  <c r="H182" i="5"/>
  <c r="H183" i="5"/>
  <c r="H184" i="5"/>
  <c r="H185" i="5"/>
  <c r="H186" i="5"/>
  <c r="H187" i="5"/>
  <c r="H188" i="5"/>
  <c r="H191" i="5"/>
  <c r="H192" i="5"/>
  <c r="H193" i="5"/>
  <c r="H194" i="5"/>
  <c r="H197" i="5"/>
  <c r="H198" i="5"/>
  <c r="H199" i="5"/>
  <c r="H200" i="5"/>
  <c r="H201" i="5"/>
  <c r="H202" i="5"/>
  <c r="H203" i="5"/>
  <c r="H204" i="5"/>
  <c r="H205" i="5"/>
  <c r="H212" i="5"/>
  <c r="H207" i="5"/>
  <c r="H431" i="5"/>
  <c r="H432" i="5"/>
  <c r="H433" i="5"/>
  <c r="H434" i="5"/>
  <c r="H435" i="5"/>
  <c r="H425" i="5"/>
  <c r="H426" i="5"/>
  <c r="H427" i="5"/>
  <c r="H420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396" i="5"/>
  <c r="H397" i="5"/>
  <c r="H398" i="5"/>
  <c r="H399" i="5"/>
  <c r="H400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6" i="5"/>
  <c r="H377" i="5"/>
  <c r="H378" i="5"/>
  <c r="H379" i="5"/>
  <c r="H380" i="5"/>
  <c r="H381" i="5"/>
  <c r="H382" i="5"/>
  <c r="H383" i="5"/>
  <c r="H384" i="5"/>
  <c r="H385" i="5"/>
  <c r="H386" i="5"/>
  <c r="H349" i="5"/>
  <c r="H350" i="5"/>
  <c r="H324" i="5"/>
  <c r="H325" i="5"/>
  <c r="H326" i="5"/>
  <c r="H327" i="5"/>
  <c r="H329" i="5"/>
  <c r="H330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19" i="5"/>
  <c r="H320" i="5"/>
  <c r="H321" i="5"/>
  <c r="H304" i="5"/>
  <c r="H305" i="5"/>
  <c r="H306" i="5"/>
  <c r="H307" i="5"/>
  <c r="H308" i="5"/>
  <c r="H309" i="5"/>
  <c r="H310" i="5"/>
  <c r="H311" i="5"/>
  <c r="H312" i="5"/>
  <c r="H313" i="5"/>
  <c r="H314" i="5"/>
  <c r="H282" i="5"/>
  <c r="H283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C350" i="5"/>
  <c r="F321" i="5"/>
  <c r="G321" i="5"/>
  <c r="H286" i="5"/>
  <c r="C436" i="5"/>
  <c r="C428" i="5"/>
  <c r="C401" i="5"/>
  <c r="C321" i="5"/>
  <c r="C315" i="5"/>
  <c r="H392" i="5"/>
  <c r="H391" i="5"/>
  <c r="H303" i="5"/>
  <c r="E321" i="5"/>
  <c r="H168" i="5"/>
  <c r="H284" i="5"/>
  <c r="H216" i="5"/>
  <c r="H38" i="5"/>
  <c r="E278" i="5"/>
  <c r="G171" i="5"/>
  <c r="C346" i="5"/>
  <c r="E422" i="5"/>
  <c r="D352" i="5"/>
  <c r="D422" i="5"/>
  <c r="C145" i="5"/>
  <c r="H31" i="5"/>
  <c r="H32" i="5"/>
  <c r="H387" i="5"/>
  <c r="H233" i="5"/>
  <c r="H388" i="5"/>
  <c r="G352" i="5"/>
  <c r="E171" i="5"/>
  <c r="H315" i="5"/>
  <c r="F422" i="5"/>
  <c r="F171" i="5"/>
  <c r="F223" i="5"/>
  <c r="E352" i="5"/>
  <c r="H68" i="5"/>
  <c r="H346" i="5"/>
  <c r="H401" i="5"/>
  <c r="C276" i="5"/>
  <c r="H436" i="5"/>
  <c r="H208" i="5"/>
  <c r="H209" i="5"/>
  <c r="C209" i="5"/>
  <c r="H276" i="5"/>
  <c r="C68" i="5"/>
  <c r="C171" i="5"/>
  <c r="C169" i="5"/>
  <c r="H428" i="5"/>
  <c r="H169" i="5"/>
  <c r="H301" i="5"/>
  <c r="C233" i="5"/>
  <c r="C251" i="5"/>
  <c r="C221" i="5"/>
  <c r="G278" i="5"/>
  <c r="H141" i="5"/>
  <c r="C422" i="5"/>
  <c r="H236" i="5"/>
  <c r="H251" i="5"/>
  <c r="F278" i="5"/>
  <c r="D209" i="5"/>
  <c r="E223" i="5"/>
  <c r="G223" i="5"/>
  <c r="H106" i="5"/>
  <c r="H107" i="5"/>
  <c r="F352" i="5"/>
  <c r="C141" i="5"/>
  <c r="C301" i="5"/>
  <c r="H404" i="5"/>
  <c r="H418" i="5"/>
  <c r="H422" i="5"/>
  <c r="H214" i="5"/>
  <c r="H221" i="5"/>
  <c r="G422" i="5"/>
  <c r="H171" i="5"/>
  <c r="H352" i="5"/>
  <c r="E438" i="5"/>
  <c r="H278" i="5"/>
  <c r="G438" i="5"/>
  <c r="H223" i="5"/>
  <c r="F438" i="5"/>
  <c r="D223" i="5"/>
  <c r="H438" i="5"/>
  <c r="C438" i="5"/>
  <c r="D438" i="5"/>
</calcChain>
</file>

<file path=xl/sharedStrings.xml><?xml version="1.0" encoding="utf-8"?>
<sst xmlns="http://schemas.openxmlformats.org/spreadsheetml/2006/main" count="646" uniqueCount="524">
  <si>
    <t>Big Bend Outage - Unit #1</t>
  </si>
  <si>
    <t>Big Bend Outage - Unit #2</t>
  </si>
  <si>
    <t>Big Bend Outage - Unit #3</t>
  </si>
  <si>
    <t>Big Bend Outage - Unit #4</t>
  </si>
  <si>
    <t>PA Fan Replacement</t>
  </si>
  <si>
    <t>Precip Airlock Replacement</t>
  </si>
  <si>
    <t>Primary SH</t>
  </si>
  <si>
    <t>BFP Recirc Valve</t>
  </si>
  <si>
    <t>Seal Air Fans</t>
  </si>
  <si>
    <t>LP Turbine Inspection</t>
  </si>
  <si>
    <t>WW Platens</t>
  </si>
  <si>
    <t>Arc Flash Remediation</t>
  </si>
  <si>
    <t>Blowdown Tank Repl</t>
  </si>
  <si>
    <t>Circulating Water Pumps</t>
  </si>
  <si>
    <t>Classifier/Discharge Chute Replacement</t>
  </si>
  <si>
    <t>Coal Inlet Chutes</t>
  </si>
  <si>
    <t>Duct Replacements</t>
  </si>
  <si>
    <t>EH3 Replacement</t>
  </si>
  <si>
    <t>Furnace Upper WW</t>
  </si>
  <si>
    <t>Furnace Weld Overlay</t>
  </si>
  <si>
    <t>Generator Stator Rewind</t>
  </si>
  <si>
    <t>Heater Drip Pumps</t>
  </si>
  <si>
    <t>Hot Air Expansion Joints</t>
  </si>
  <si>
    <t>Slag Tank Replacement</t>
  </si>
  <si>
    <t>Sootblower system Replacement</t>
  </si>
  <si>
    <t>BFP Turbine/Element/Casing</t>
  </si>
  <si>
    <t>Coal Chutes to Feeders</t>
  </si>
  <si>
    <t>Coal Crushers w/ motors</t>
  </si>
  <si>
    <t>Coal Piping</t>
  </si>
  <si>
    <t>CRH Inlet Header</t>
  </si>
  <si>
    <t>DA Tank Replacement</t>
  </si>
  <si>
    <t>Ductwork Replacements</t>
  </si>
  <si>
    <t>Economizer w/ Header</t>
  </si>
  <si>
    <t>EH1 Replacement</t>
  </si>
  <si>
    <t>EH5 Replacement</t>
  </si>
  <si>
    <t>EH6 Replacement</t>
  </si>
  <si>
    <t>FGD Ductwork Replacements</t>
  </si>
  <si>
    <t>Generator Rewind</t>
  </si>
  <si>
    <t>HTSH w/ Outlet Header</t>
  </si>
  <si>
    <t>LP Turbine</t>
  </si>
  <si>
    <t>BFP Element</t>
  </si>
  <si>
    <t>EH7 Replacement</t>
  </si>
  <si>
    <t>Finishing RH</t>
  </si>
  <si>
    <t>Finishing SH</t>
  </si>
  <si>
    <t>Furnace Lower WW</t>
  </si>
  <si>
    <t>PA Fan Wheels</t>
  </si>
  <si>
    <t>Compressed Air System Upgrades</t>
  </si>
  <si>
    <t>Dry Stack Shell Dismantlement</t>
  </si>
  <si>
    <t>Arc Flash / Misc. Electrical Upgrades</t>
  </si>
  <si>
    <t>Misc. Roof Replacements</t>
  </si>
  <si>
    <t>Plant Cooling Water System</t>
  </si>
  <si>
    <t>Reverse Osmosis System Upgrades</t>
  </si>
  <si>
    <t>Tripper Room Roof</t>
  </si>
  <si>
    <t>316B Study</t>
  </si>
  <si>
    <t>Air heater rotor and element replacement</t>
  </si>
  <si>
    <r>
      <t xml:space="preserve">5 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(2011 thru 2015)</t>
    </r>
  </si>
  <si>
    <t>Furnace Floor / Refractory</t>
  </si>
  <si>
    <t>APH Baskets / Seals</t>
  </si>
  <si>
    <t xml:space="preserve">EH3 Repl.     </t>
  </si>
  <si>
    <t>BFP Internal Element Repl</t>
  </si>
  <si>
    <t>Coal Nozzle replacement</t>
  </si>
  <si>
    <t>HP/IP Turbine &amp; Valves</t>
  </si>
  <si>
    <t>Slag TANK Replacement</t>
  </si>
  <si>
    <t>Slag Tanks Necks / Refractory  Replacement</t>
  </si>
  <si>
    <t>Bottom Ash Tank</t>
  </si>
  <si>
    <t>Burner Assembly / Coal Nozzle Replacement</t>
  </si>
  <si>
    <t>HRS Header Partial Replacement</t>
  </si>
  <si>
    <t>BB4 Precipitator Overhaul</t>
  </si>
  <si>
    <t>Radiant RH Replacement</t>
  </si>
  <si>
    <t>Blowdown Tank Replacement</t>
  </si>
  <si>
    <t>Boiler Furnace Floor/Refractory Replacement</t>
  </si>
  <si>
    <t>EH6 &amp; 7 Level Instrumentation</t>
  </si>
  <si>
    <t>Generator Rewind with Retaining Rings</t>
  </si>
  <si>
    <t>Pulverizer Overhauls</t>
  </si>
  <si>
    <t>1&amp;2 Tower</t>
  </si>
  <si>
    <t xml:space="preserve">     Replace unit 4 inlet duct</t>
  </si>
  <si>
    <t xml:space="preserve">     Replace unit 3 inlet duct</t>
  </si>
  <si>
    <t xml:space="preserve">     Replace unit 4 outlet duct</t>
  </si>
  <si>
    <t xml:space="preserve">     Replace C Booster Fan Inlet Vanes</t>
  </si>
  <si>
    <t xml:space="preserve">     Replace C &amp; D Tower Inlet Ducts</t>
  </si>
  <si>
    <t>Settling Basin Pump Replacement</t>
  </si>
  <si>
    <t xml:space="preserve">     Tank Liner Replacements</t>
  </si>
  <si>
    <t xml:space="preserve">FGD Common </t>
  </si>
  <si>
    <t>3&amp;4 Towers</t>
  </si>
  <si>
    <t xml:space="preserve">     Replace D Booster Fan Housing</t>
  </si>
  <si>
    <t xml:space="preserve">     Replace C &amp; D Booster Fan Lube Oil Skids</t>
  </si>
  <si>
    <t xml:space="preserve">     Replace A &amp; B Tower Inlet Ducts</t>
  </si>
  <si>
    <t xml:space="preserve">     C Booster Fan Upgrade (Increase flow to match D tower)</t>
  </si>
  <si>
    <t xml:space="preserve">     A &amp; B Tower sparger &amp; bowl return line mods</t>
  </si>
  <si>
    <t xml:space="preserve">     A-D Tower WFC nozzle replacement</t>
  </si>
  <si>
    <t xml:space="preserve">     Alternative Limestone Feed</t>
  </si>
  <si>
    <t xml:space="preserve">     Limestone storage building repairs</t>
  </si>
  <si>
    <t>Stack Lining / Repair leaning liner</t>
  </si>
  <si>
    <t xml:space="preserve">     Limestone reclaimer repairs</t>
  </si>
  <si>
    <t xml:space="preserve">     Emergency pond reclamation system upgrades</t>
  </si>
  <si>
    <t>Exciter Rewind</t>
  </si>
  <si>
    <t>Air removal pump replacement</t>
  </si>
  <si>
    <t>Primary RH</t>
  </si>
  <si>
    <t>Flash Tank Replacement</t>
  </si>
  <si>
    <t>Blankets</t>
  </si>
  <si>
    <t>Elevator #5 Code Upgrades</t>
  </si>
  <si>
    <t>Coal Field Electrical Feed Modifications</t>
  </si>
  <si>
    <t>Transformer fire protection upgrade (BB4)</t>
  </si>
  <si>
    <t>Inerting Steam System Upgrades</t>
  </si>
  <si>
    <t>Accoustic Monitoring System Upgrade</t>
  </si>
  <si>
    <t>Cold Air Expansion Joint</t>
  </si>
  <si>
    <t>Infrastructure / Facilities Upgrades</t>
  </si>
  <si>
    <t>Mill Liners</t>
  </si>
  <si>
    <t>HTRH Replacement</t>
  </si>
  <si>
    <t>Bunker Liners</t>
  </si>
  <si>
    <t>Feedwater Piping Replacement</t>
  </si>
  <si>
    <t>Demineralizer Resin Replacement</t>
  </si>
  <si>
    <t>Polisher Resin Replacement</t>
  </si>
  <si>
    <t>Low Temp Superheater</t>
  </si>
  <si>
    <t>Polisher Acid/Caustic Tanks</t>
  </si>
  <si>
    <t>Reverse Osmosis Membranes</t>
  </si>
  <si>
    <t>FD/ID Fan LCI Controls</t>
  </si>
  <si>
    <t>Economizer Ash Ponds / LTFA Pond</t>
  </si>
  <si>
    <t>HTSH DMW Replacement</t>
  </si>
  <si>
    <t>Unit 3 Precip Upgrades (PM Consent Decree)</t>
  </si>
  <si>
    <t>Unit 1 Precip Upgrades (PM Consent Decree)</t>
  </si>
  <si>
    <t>Alarm Management</t>
  </si>
  <si>
    <t>Big Bend Outage - FGD</t>
  </si>
  <si>
    <t>Big Bend Non-Outage Projects</t>
  </si>
  <si>
    <t>PA Fan Roof Replacement</t>
  </si>
  <si>
    <t>Tagging Management Application</t>
  </si>
  <si>
    <t>Total BB Outage - Unit #1</t>
  </si>
  <si>
    <t>Total BB Outage - Unit #2</t>
  </si>
  <si>
    <t>Total BB Outage - Unit #3</t>
  </si>
  <si>
    <t>Total BB Outage - Unit #4</t>
  </si>
  <si>
    <t>Total BB Outage - FGD</t>
  </si>
  <si>
    <t>Total BB Non-Outage Projects</t>
  </si>
  <si>
    <t>Bayside Outage - Unit #1</t>
  </si>
  <si>
    <t>BS GENERATOR REWIND</t>
  </si>
  <si>
    <t>BS HRSG SCR CATALYST 1A,1B,1C</t>
  </si>
  <si>
    <t xml:space="preserve"> </t>
  </si>
  <si>
    <t>Steam Turbine Bolting repl</t>
  </si>
  <si>
    <t>#1 Turbine  L.O. Cooler</t>
  </si>
  <si>
    <t>Hydrogen SO Cooler</t>
  </si>
  <si>
    <t>Air Side SO Cooler</t>
  </si>
  <si>
    <t>Condenser Inlet Valve repl.</t>
  </si>
  <si>
    <t>G5501</t>
  </si>
  <si>
    <t>Unit 1 HP/IP/LP Steam Turbine ring &amp; seal repl</t>
  </si>
  <si>
    <t>1A,1B,1C Inlet Filter repl.</t>
  </si>
  <si>
    <t>Course Mesh Screens and dredging unit 1</t>
  </si>
  <si>
    <t>Silencer Repl. Hot Reheat only 1A, 1B, 1C</t>
  </si>
  <si>
    <t>HRSG Piping Penetration seals Super Heat</t>
  </si>
  <si>
    <t>Silencer Repl. 1A, 1B, 1C ( IP only )</t>
  </si>
  <si>
    <t>Silencer Repl. 1A, 1B, 1C ( MS only )</t>
  </si>
  <si>
    <t>1A, B, C HR Attemp. Upgrade</t>
  </si>
  <si>
    <t>1A, B, C HP FD water control valve upgrade</t>
  </si>
  <si>
    <t>1A, B, C FAC material upgrade</t>
  </si>
  <si>
    <t>1A, B, C pipe support &amp; structure</t>
  </si>
  <si>
    <t>1A, B, C HR pipe penetration seals</t>
  </si>
  <si>
    <t>1A, B, C Blow down tank repl.</t>
  </si>
  <si>
    <t xml:space="preserve">  Total BS Outage - Unit #1</t>
  </si>
  <si>
    <t>Bayside Outage - Unit #2</t>
  </si>
  <si>
    <t>BS 2A MAIN STEAM ATTEMPERATORS</t>
  </si>
  <si>
    <t>BS HRSG SCR CATALYST 2A,2B,2C,2D</t>
  </si>
  <si>
    <t>BS Inlet Air Filters for Unit 2A,2B,2C,2D</t>
  </si>
  <si>
    <t>Unit 2  blow down tanks repl</t>
  </si>
  <si>
    <t>Course Mesh Screens 2 sets - Screen well unit 2</t>
  </si>
  <si>
    <t>Silencer Repl. Hot Reheat only 2C, 2B</t>
  </si>
  <si>
    <t>Silencer Repl. Hot Reheat only 2D, 2A</t>
  </si>
  <si>
    <t>ST2 Voltage Regulator upgd</t>
  </si>
  <si>
    <t>Silencer Repl. 2A, 2B, 2C, 2D ( IP only )</t>
  </si>
  <si>
    <t>Dredging</t>
  </si>
  <si>
    <t>BS2 HP/IP/LP STEAM TURBINE SEALS</t>
  </si>
  <si>
    <t xml:space="preserve">  Total BS Outage - Unit #2</t>
  </si>
  <si>
    <t>GE Compressor repl unit 1</t>
  </si>
  <si>
    <t>GE Compressor repl unit 2</t>
  </si>
  <si>
    <t>Bayside Non-Outage Projects / Capitalized Maint</t>
  </si>
  <si>
    <t>BS Dismantlement of Gannon Coal Assests</t>
  </si>
  <si>
    <t>G5029</t>
  </si>
  <si>
    <t>BS Alarm Management</t>
  </si>
  <si>
    <t>G6201</t>
  </si>
  <si>
    <t>BS ARC FLASH phase 2</t>
  </si>
  <si>
    <t>BS ARCH FLASH phase 1</t>
  </si>
  <si>
    <t>BS Blankets - Routine Corrective Maint.</t>
  </si>
  <si>
    <t>BS DISCHARGE FLUME</t>
  </si>
  <si>
    <t>Electrical Equipment Repl.(end of life)</t>
  </si>
  <si>
    <t>Hydrogen Panel Repl - Unit 1 outage</t>
  </si>
  <si>
    <t>G6701</t>
  </si>
  <si>
    <t>Steam Turbine Cooling Tower Repl.</t>
  </si>
  <si>
    <t>G6801</t>
  </si>
  <si>
    <t>CT Power Block Gas Supply Piping Loop addition</t>
  </si>
  <si>
    <t>NERC CIP Hardware</t>
  </si>
  <si>
    <t>BS Reserve Bus 2 Switchgear</t>
  </si>
  <si>
    <t>BS RO PRETREATMENT ( ultra filtration)</t>
  </si>
  <si>
    <t>TRANSFORMER REPL RESERVE 2</t>
  </si>
  <si>
    <t>GSU Repl. Unit 2</t>
  </si>
  <si>
    <t>GSU Repl. Unit 1</t>
  </si>
  <si>
    <t>Battery Set unit #2</t>
  </si>
  <si>
    <t>Back-up Generator Steam Plant</t>
  </si>
  <si>
    <t>Transformer Repl. Reserve 3</t>
  </si>
  <si>
    <t>BS WIDE WOBBIE INDEX</t>
  </si>
  <si>
    <t>Bayside Dock Fender replacement</t>
  </si>
  <si>
    <t>PEC NERC</t>
  </si>
  <si>
    <t xml:space="preserve">  Total BS Non-Outage Projects / Capitalized Maint</t>
  </si>
  <si>
    <t>Bayside Environmental / ECRC Projects</t>
  </si>
  <si>
    <t>316B  Fine Mesh screens</t>
  </si>
  <si>
    <t xml:space="preserve">  Total BS Environmental / ECRC Projects</t>
  </si>
  <si>
    <t>Total Bayside Power Station</t>
  </si>
  <si>
    <t xml:space="preserve">  Compressor Replacement - Units 1 &amp; 2</t>
  </si>
  <si>
    <t>A6903</t>
  </si>
  <si>
    <t>EHS BLANKETS (981 - LAB SERVICES ONLY)</t>
  </si>
  <si>
    <t>A6900</t>
  </si>
  <si>
    <t>EHS BLANKETS (982 - AIR SERVICES ONLY)</t>
  </si>
  <si>
    <t>EHS BLANKETS (985 - MVC ONLY)</t>
  </si>
  <si>
    <t>I9900</t>
  </si>
  <si>
    <t>EHS ED&amp;G INDETERMINATES</t>
  </si>
  <si>
    <t>Total Environmental, Health &amp; Safety</t>
  </si>
  <si>
    <t>Environmental, Health &amp; Safety</t>
  </si>
  <si>
    <t>EHS ES PROJECT SUPPORT</t>
  </si>
  <si>
    <t>Planning, Engineering &amp; Construciton</t>
  </si>
  <si>
    <t>MCS Building Renovations</t>
  </si>
  <si>
    <t>Boiler &amp; Boiler Piping Management System</t>
  </si>
  <si>
    <t>Capital Program Support</t>
  </si>
  <si>
    <t>Total Planning, Engineering &amp; Construciton</t>
  </si>
  <si>
    <t>H000</t>
  </si>
  <si>
    <t>Maintenance/Reliability Outages</t>
  </si>
  <si>
    <t>CT Inlet Air Guards</t>
  </si>
  <si>
    <t>Y-Strainer Addition</t>
  </si>
  <si>
    <t>Sulfuric Acid Piping</t>
  </si>
  <si>
    <t>ASU adsorber replacement</t>
  </si>
  <si>
    <t>Gasifier throat Brick</t>
  </si>
  <si>
    <t>Lockhopper Valve</t>
  </si>
  <si>
    <t>Emergency Elevator Addition</t>
  </si>
  <si>
    <t>Syngas Piping Liner (Ph1)</t>
  </si>
  <si>
    <t>SAP Heat Exchanger</t>
  </si>
  <si>
    <t>Brine Heat Exchanger</t>
  </si>
  <si>
    <t>MDEA Tank Liner</t>
  </si>
  <si>
    <t>SAP SO2 Stripper</t>
  </si>
  <si>
    <t>MDEA Filtration</t>
  </si>
  <si>
    <t>Syngas Block Valve</t>
  </si>
  <si>
    <t>Lockhopper valve</t>
  </si>
  <si>
    <t>ST Main Steam Line Modification</t>
  </si>
  <si>
    <t>Gasifier skin T/C's</t>
  </si>
  <si>
    <t>Syngas Piping Exp Joints</t>
  </si>
  <si>
    <t>Syngas piping Liner (Ph2)</t>
  </si>
  <si>
    <t>SAP Preheater</t>
  </si>
  <si>
    <t>Open Loop Pump Internals</t>
  </si>
  <si>
    <t>Condensor cooling water pump</t>
  </si>
  <si>
    <t xml:space="preserve">RSC Seal box replacement </t>
  </si>
  <si>
    <t>Gasifer Brick Replacement</t>
  </si>
  <si>
    <t>A&amp;B Mill End Liners</t>
  </si>
  <si>
    <t>Run Tank Liner Replacement</t>
  </si>
  <si>
    <t>GOX Rotor replacement</t>
  </si>
  <si>
    <t>Large Motor Replacement</t>
  </si>
  <si>
    <t>Pk Syngas Block valve</t>
  </si>
  <si>
    <t>Misc Other Projects</t>
  </si>
  <si>
    <t>Unit #4 R-Zero Blade Replacement</t>
  </si>
  <si>
    <t>Unit #5 R-Zero Blade Replacement</t>
  </si>
  <si>
    <t>H4788</t>
  </si>
  <si>
    <t>Polk LTSA - Unit #1</t>
  </si>
  <si>
    <t>H4880</t>
  </si>
  <si>
    <t>Polk CSA - Unit #2</t>
  </si>
  <si>
    <t>H4988</t>
  </si>
  <si>
    <t>Polk CSA - Unit #3</t>
  </si>
  <si>
    <t>H5088</t>
  </si>
  <si>
    <t>Polk CSA - Unit #4</t>
  </si>
  <si>
    <t>H5288</t>
  </si>
  <si>
    <t>Polk CSA - Unit #5</t>
  </si>
  <si>
    <t>Polk Non-Outage Projects / Capitalized Maint</t>
  </si>
  <si>
    <t>A8100/P8100</t>
  </si>
  <si>
    <t>PK Blankets/Retirements</t>
  </si>
  <si>
    <t>Greywater evaporator tube replacement</t>
  </si>
  <si>
    <t>Stormwater replacement Ph 2</t>
  </si>
  <si>
    <t>Greywater filter replacement</t>
  </si>
  <si>
    <t>DCS Power Panel Replacement</t>
  </si>
  <si>
    <t>Instrument Air Compressor Replacement</t>
  </si>
  <si>
    <t>Brine Impeller</t>
  </si>
  <si>
    <t>Scrubber Blowdown Crusher</t>
  </si>
  <si>
    <t>Brine Filtration</t>
  </si>
  <si>
    <t>Slag Recovery System</t>
  </si>
  <si>
    <t>PK Unidentified Capital Projects</t>
  </si>
  <si>
    <t xml:space="preserve">  Total PK Non-Outage Projects / Capitalized Maint</t>
  </si>
  <si>
    <t>PolK Unit 1 Outage - Gasification Area</t>
  </si>
  <si>
    <t xml:space="preserve">  Total PolK Unit 1 Outage - Gasification Area</t>
  </si>
  <si>
    <t>Polk Unit 2-5 Outage</t>
  </si>
  <si>
    <t xml:space="preserve">  Total Polk Unit 2-5 Outage</t>
  </si>
  <si>
    <t xml:space="preserve">  Polk LTSA/CSA</t>
  </si>
  <si>
    <t xml:space="preserve">  Total PolK LTSA/CSA</t>
  </si>
  <si>
    <t>Total Polk Power Station</t>
  </si>
  <si>
    <t>Electrical Upgrades</t>
  </si>
  <si>
    <t>Blanket Maintenance</t>
  </si>
  <si>
    <t>Cathodic Protection</t>
  </si>
  <si>
    <t>Mobile Equipment</t>
  </si>
  <si>
    <t>Rail Crossing Tub Replacement</t>
  </si>
  <si>
    <t>Coal Unloading Dock/Seawall Replacement</t>
  </si>
  <si>
    <t>Coal Unloading Dock</t>
  </si>
  <si>
    <t>North Stacker Replacement</t>
  </si>
  <si>
    <t>South Stacker Replacement</t>
  </si>
  <si>
    <t>Stevedore Work Flat</t>
  </si>
  <si>
    <t>Dravo</t>
  </si>
  <si>
    <t>PECO</t>
  </si>
  <si>
    <t>Coal Field Controls Replacement</t>
  </si>
  <si>
    <t>E to F / E to Y Chutes Replacement</t>
  </si>
  <si>
    <t>F to J1 Chute Replacement</t>
  </si>
  <si>
    <t>T1 to W1 Transfer Chute Replacement</t>
  </si>
  <si>
    <t>T2 to W2 Transfer Chute Replacement</t>
  </si>
  <si>
    <t>Blending Bin Bypass System</t>
  </si>
  <si>
    <t>J2-Conveyor</t>
  </si>
  <si>
    <t>K1A&amp;K1B to L1 Transfer Chute Replacement</t>
  </si>
  <si>
    <t>K2A&amp;K2B to L2 Transfer Chute Replacement</t>
  </si>
  <si>
    <t>M1 Tripper Chute Replacement</t>
  </si>
  <si>
    <t>R1 Tripper Chute Replacement</t>
  </si>
  <si>
    <t>Blending Bin Gates (x12)</t>
  </si>
  <si>
    <t>Blending T1 Transfer x6</t>
  </si>
  <si>
    <t>Blending Bins</t>
  </si>
  <si>
    <t>P to J2 Chute Replacement</t>
  </si>
  <si>
    <t>T3 Tower Major Refurbishment</t>
  </si>
  <si>
    <t>Y to Z Chute Replacement</t>
  </si>
  <si>
    <t>Z to P Chute Replacement</t>
  </si>
  <si>
    <t>P-J Chute</t>
  </si>
  <si>
    <t>Z-P Chute</t>
  </si>
  <si>
    <t>J2-Q2 Chute</t>
  </si>
  <si>
    <t>Q1-R1 Chute</t>
  </si>
  <si>
    <t>Q2-R2 Chute</t>
  </si>
  <si>
    <t>T2-W2 Chute</t>
  </si>
  <si>
    <t>L1-M1</t>
  </si>
  <si>
    <t>W2-L2 Chute</t>
  </si>
  <si>
    <t>L2-M2 Chute</t>
  </si>
  <si>
    <t>M2 Tripper Chute</t>
  </si>
  <si>
    <t>Rail System</t>
  </si>
  <si>
    <t>Sub-Total</t>
  </si>
  <si>
    <t>Total Energy Supply Services</t>
  </si>
  <si>
    <t xml:space="preserve">  Total Reclaimed Water Project</t>
  </si>
  <si>
    <t>Total All Capital - Excluding Generation Expansion</t>
  </si>
  <si>
    <t>z</t>
  </si>
  <si>
    <t xml:space="preserve">     Controls Upgrade - Unit 3</t>
  </si>
  <si>
    <t xml:space="preserve">     Controls Upgrade - Unit 4</t>
  </si>
  <si>
    <t xml:space="preserve">     Controls Upgrade - Common</t>
  </si>
  <si>
    <t>Conveyor(s)</t>
  </si>
  <si>
    <t xml:space="preserve">Various chutes/belts/conveyors </t>
  </si>
  <si>
    <t>G9878</t>
  </si>
  <si>
    <t>GE CSA  Unit 1</t>
  </si>
  <si>
    <t>G9981</t>
  </si>
  <si>
    <t>GE CSA  Unit 2</t>
  </si>
  <si>
    <t xml:space="preserve">     Replace 3 Oxidizing Air Compressors</t>
  </si>
  <si>
    <t xml:space="preserve">     Replace 4 Oxidizing Air Compressors</t>
  </si>
  <si>
    <t xml:space="preserve">     A-B Tower replace absorber/quencher pump suction valves</t>
  </si>
  <si>
    <t xml:space="preserve">     C-D Tower replace absorber/quencher pump suction valves</t>
  </si>
  <si>
    <t>PROJECT NUMBER</t>
  </si>
  <si>
    <t>Solid Fuel Handling Equipment Replacement &amp; Additions</t>
  </si>
  <si>
    <t>Energy Supply Services - Recurring</t>
  </si>
  <si>
    <t xml:space="preserve">  Total Recurring</t>
  </si>
  <si>
    <t>Energy Supply Services - Non-Recurring</t>
  </si>
  <si>
    <t>Total Non-Recurring</t>
  </si>
  <si>
    <t>Total Solid Fuel Handling Equipment Replacement &amp; Additions</t>
  </si>
  <si>
    <t xml:space="preserve">     Controls Upgrade - Unit 1&amp;2                                                       ECRC</t>
  </si>
  <si>
    <t>Gypsum Storage Area / FGD Equipment Replacement &amp; Additions</t>
  </si>
  <si>
    <t>Big Bend Environmental / Other ECRC Projects</t>
  </si>
  <si>
    <t>Total Environmental / Other ECRC Projects</t>
  </si>
  <si>
    <t>Fines Removal and Filtration System  (10% Moisture)              ECRC</t>
  </si>
  <si>
    <t>Unit 1&amp;2 Cross Tie Damper                                                               ECRC</t>
  </si>
  <si>
    <t>SCR Catalyst                                                                                         ECRC</t>
  </si>
  <si>
    <t>Unit 1&amp;2 Rebuild Absorber Recycle Pumps                                 ECRC</t>
  </si>
  <si>
    <t>FGD Vacuum Drum Replacement                                                    ECRC</t>
  </si>
  <si>
    <t xml:space="preserve">     Replace unit 3 outlet duct coating system                               ECRC</t>
  </si>
  <si>
    <t>Wastewater treatment plant reliability                                            ECRC</t>
  </si>
  <si>
    <t xml:space="preserve">     Online slurry nozzle cleaning system                                       ECRC</t>
  </si>
  <si>
    <t xml:space="preserve">     Oxidation air header improvements                                          ECRC</t>
  </si>
  <si>
    <t xml:space="preserve">     Pick heater replacement                                                               ECRC</t>
  </si>
  <si>
    <t>Total All Big Bend Power Station</t>
  </si>
  <si>
    <t>Mill Trunnion Liners</t>
  </si>
  <si>
    <t>Sootblower System Replacement</t>
  </si>
  <si>
    <t>B28.10 / Q28.10</t>
  </si>
  <si>
    <t>B28.11 / Q28.11</t>
  </si>
  <si>
    <t>B28.12 / Q28.12</t>
  </si>
  <si>
    <t>B28.13 / Q28.13</t>
  </si>
  <si>
    <t>B28.14 / Q28.14</t>
  </si>
  <si>
    <t>B28.15 / Q28.15</t>
  </si>
  <si>
    <t>B28.16 / Q28.16</t>
  </si>
  <si>
    <t>B28.17 / Q28.17</t>
  </si>
  <si>
    <t>B28.18 / Q28.18</t>
  </si>
  <si>
    <t>B28.19 / Q28.19</t>
  </si>
  <si>
    <t>B28.20 / Q28.20</t>
  </si>
  <si>
    <t>B28.21 / Q28.21</t>
  </si>
  <si>
    <t>B28.22 / Q28.22</t>
  </si>
  <si>
    <t>B28.23 / Q28.23</t>
  </si>
  <si>
    <t>B28.24 / Q28.24</t>
  </si>
  <si>
    <t>B28.25 / Q28.25</t>
  </si>
  <si>
    <t>B28.26 / Q28.26</t>
  </si>
  <si>
    <t>B28.27 / Q28.27</t>
  </si>
  <si>
    <t>B28.28 / Q28.28</t>
  </si>
  <si>
    <t>B28.29 / Q28.29</t>
  </si>
  <si>
    <t>B28.30 / Q28.30</t>
  </si>
  <si>
    <t>B28.31 / Q28.31</t>
  </si>
  <si>
    <t>B27.10 / Q27.10</t>
  </si>
  <si>
    <t>B27.11 / Q27.11</t>
  </si>
  <si>
    <t>B27.12 / Q27.12</t>
  </si>
  <si>
    <t>B27.13 / Q27.13</t>
  </si>
  <si>
    <t>B27.14 / Q27.14</t>
  </si>
  <si>
    <t>B27.15 / Q27.15</t>
  </si>
  <si>
    <t>B27.16 / Q27.16</t>
  </si>
  <si>
    <t>B27.17 / Q27.17</t>
  </si>
  <si>
    <t>B27.18 / Q27.18</t>
  </si>
  <si>
    <t>B27.19 / Q27.19</t>
  </si>
  <si>
    <t>B27.20 / Q27.20</t>
  </si>
  <si>
    <t>B27.21 / Q27.21</t>
  </si>
  <si>
    <t>B27.23 / Q27.23</t>
  </si>
  <si>
    <t>B27.24 / Q27.24</t>
  </si>
  <si>
    <t>B27.25 / Q27.25</t>
  </si>
  <si>
    <t>B27.26 / Q27.26</t>
  </si>
  <si>
    <t>B27.27 / Q27.27</t>
  </si>
  <si>
    <t>B27.28 / Q27.28</t>
  </si>
  <si>
    <t>B27.29 / Q27.29</t>
  </si>
  <si>
    <t>B27.30 / Q27.30</t>
  </si>
  <si>
    <t>B27.31 / Q27.31</t>
  </si>
  <si>
    <t>B27.32 / Q27.32</t>
  </si>
  <si>
    <t>B27.33 / Q27.33</t>
  </si>
  <si>
    <t>B27.34 / Q27.34</t>
  </si>
  <si>
    <t>B27.35 / Q27.35</t>
  </si>
  <si>
    <t>B27.36 / Q27.36</t>
  </si>
  <si>
    <t>B27.37 / Q27.37</t>
  </si>
  <si>
    <t>B27.38 / Q27.38</t>
  </si>
  <si>
    <t>B27.40 / Q27.40</t>
  </si>
  <si>
    <t>B27.41 / Q27.41</t>
  </si>
  <si>
    <t>B1616/Q1616</t>
  </si>
  <si>
    <t>A7100/P7100</t>
  </si>
  <si>
    <t>A7200/P7200</t>
  </si>
  <si>
    <t>A7300/P7300</t>
  </si>
  <si>
    <t>A7500/P7500</t>
  </si>
  <si>
    <t>A7700/P7700</t>
  </si>
  <si>
    <t>A5000/P5000</t>
  </si>
  <si>
    <t>A5044</t>
  </si>
  <si>
    <t>A5063</t>
  </si>
  <si>
    <t>10850</t>
  </si>
  <si>
    <t>A50xx/P50xx</t>
  </si>
  <si>
    <t>A2800</t>
  </si>
  <si>
    <t>B2501</t>
  </si>
  <si>
    <t>H1004</t>
  </si>
  <si>
    <t>H1005</t>
  </si>
  <si>
    <t>H1006</t>
  </si>
  <si>
    <t>H1019</t>
  </si>
  <si>
    <t>H1020</t>
  </si>
  <si>
    <t>H1021</t>
  </si>
  <si>
    <t>H1022</t>
  </si>
  <si>
    <t>H1024</t>
  </si>
  <si>
    <t>H1025</t>
  </si>
  <si>
    <t>H1026</t>
  </si>
  <si>
    <t>SAP Gas Flare Piping System Replacement</t>
  </si>
  <si>
    <t>H1101</t>
  </si>
  <si>
    <t>SAP Piping - Phase 2</t>
  </si>
  <si>
    <t>H1102</t>
  </si>
  <si>
    <t>H1103</t>
  </si>
  <si>
    <t>H1104</t>
  </si>
  <si>
    <t>H1105</t>
  </si>
  <si>
    <t>H1106</t>
  </si>
  <si>
    <t>H1107</t>
  </si>
  <si>
    <t>H1108</t>
  </si>
  <si>
    <t>H1109</t>
  </si>
  <si>
    <t>H1110</t>
  </si>
  <si>
    <t>H1100</t>
  </si>
  <si>
    <t>A9699</t>
  </si>
  <si>
    <t>PK Computer Replacements</t>
  </si>
  <si>
    <t>G6101/V6101</t>
  </si>
  <si>
    <t>G6901/V6901</t>
  </si>
  <si>
    <t>G11xx</t>
  </si>
  <si>
    <t>G5601</t>
  </si>
  <si>
    <t>A2900/P2900</t>
  </si>
  <si>
    <t>B2904/Q2904</t>
  </si>
  <si>
    <t>B2905/Q2905</t>
  </si>
  <si>
    <t>B2906/Q2906</t>
  </si>
  <si>
    <t>B2907/Q2907</t>
  </si>
  <si>
    <t>B2908/Q2908</t>
  </si>
  <si>
    <t>B2909/Q2909</t>
  </si>
  <si>
    <t>B2910/Q2910</t>
  </si>
  <si>
    <t>B2911/Q2911</t>
  </si>
  <si>
    <t>B2914/Q2914</t>
  </si>
  <si>
    <t>B2913/Q2913</t>
  </si>
  <si>
    <t>B2915/Q2915</t>
  </si>
  <si>
    <t>B2916\Q2916</t>
  </si>
  <si>
    <t>B2917\Q2917</t>
  </si>
  <si>
    <t>B2918/Q2918</t>
  </si>
  <si>
    <t>B2919/Q2919</t>
  </si>
  <si>
    <t>B2920/Q2920</t>
  </si>
  <si>
    <t>B2921/Q2921</t>
  </si>
  <si>
    <t>B2922/Q2922</t>
  </si>
  <si>
    <t>B05xx/Q05xx</t>
  </si>
  <si>
    <t>B0501/Q0501</t>
  </si>
  <si>
    <t>B0502/Q0502</t>
  </si>
  <si>
    <t>B1617/Q1617</t>
  </si>
  <si>
    <t>B1618/Q1618</t>
  </si>
  <si>
    <t>B1619/Q1619</t>
  </si>
  <si>
    <t>B1620/Q1620</t>
  </si>
  <si>
    <t>B1622/Q1622</t>
  </si>
  <si>
    <t>B1623/Q1623</t>
  </si>
  <si>
    <t>B1624/Q1624</t>
  </si>
  <si>
    <t>B1626/Q1626</t>
  </si>
  <si>
    <t>B1627/Q1627</t>
  </si>
  <si>
    <t>B1649/Q1649</t>
  </si>
  <si>
    <t>B1802/Q1802</t>
  </si>
  <si>
    <t>B1813/Q1813</t>
  </si>
  <si>
    <t>B1814/Q1814</t>
  </si>
  <si>
    <t>B1815/Q1815</t>
  </si>
  <si>
    <t>A7400/P7400</t>
  </si>
  <si>
    <t>B19xx/Q19xx</t>
  </si>
  <si>
    <t>B2031</t>
  </si>
  <si>
    <t>B2312/Q2312</t>
  </si>
  <si>
    <t>B2401/Q2401</t>
  </si>
  <si>
    <t>B2402/Q2402</t>
  </si>
  <si>
    <t>B2403/Q2403</t>
  </si>
  <si>
    <t>B2404/Q2404</t>
  </si>
  <si>
    <t>B2405/Q2405</t>
  </si>
  <si>
    <t>B2406/Q2406</t>
  </si>
  <si>
    <t>B2407/Q2407</t>
  </si>
  <si>
    <t>B2408</t>
  </si>
  <si>
    <t>F0875</t>
  </si>
  <si>
    <t>L8829/Y8829</t>
  </si>
  <si>
    <t>L8836/Y8836</t>
  </si>
  <si>
    <t>L8832</t>
  </si>
  <si>
    <t>L8827/Y8827</t>
  </si>
  <si>
    <t>L8833</t>
  </si>
  <si>
    <t>A2801</t>
  </si>
  <si>
    <t>A5115/A5215/A5315</t>
  </si>
  <si>
    <t>A5116/A5216/A5316</t>
  </si>
  <si>
    <t>Project Title</t>
  </si>
  <si>
    <t>Energy Supply</t>
  </si>
  <si>
    <t>5-Year Capital Forecast</t>
  </si>
  <si>
    <t>Total Gypsum Storage Area / FGD Reliability</t>
  </si>
  <si>
    <t xml:space="preserve">Gypsum Storage Area </t>
  </si>
  <si>
    <t>Total All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</si>
</sst>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4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96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3" fillId="0" borderId="1" xfId="0" applyFont="1" applyFill="1" applyBorder="1"/>
    <xf numFmtId="37" fontId="2" fillId="0" borderId="1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7" fillId="0" borderId="0" xfId="0" applyFont="1" applyFill="1" applyBorder="1" applyAlignment="1">
      <alignment horizontal="left"/>
    </xf>
    <xf numFmtId="37" fontId="7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/>
    <xf numFmtId="37" fontId="3" fillId="0" borderId="2" xfId="1" applyNumberFormat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right"/>
    </xf>
    <xf numFmtId="0" fontId="2" fillId="0" borderId="1" xfId="0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3" fillId="0" borderId="1" xfId="1" quotePrefix="1" applyNumberFormat="1" applyFont="1" applyFill="1" applyBorder="1"/>
    <xf numFmtId="0" fontId="2" fillId="0" borderId="3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2" fillId="0" borderId="1" xfId="1" quotePrefix="1" applyNumberFormat="1" applyFont="1" applyFill="1" applyBorder="1"/>
    <xf numFmtId="0" fontId="8" fillId="2" borderId="2" xfId="0" applyFont="1" applyFill="1" applyBorder="1" applyAlignment="1">
      <alignment horizontal="center"/>
    </xf>
    <xf numFmtId="37" fontId="8" fillId="2" borderId="2" xfId="1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37" fontId="8" fillId="3" borderId="1" xfId="0" applyNumberFormat="1" applyFont="1" applyFill="1" applyBorder="1" applyAlignment="1">
      <alignment horizontal="right"/>
    </xf>
    <xf numFmtId="37" fontId="8" fillId="4" borderId="2" xfId="1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9" fillId="0" borderId="1" xfId="0" applyFont="1" applyFill="1" applyBorder="1"/>
    <xf numFmtId="164" fontId="9" fillId="0" borderId="1" xfId="1" quotePrefix="1" applyNumberFormat="1" applyFont="1" applyFill="1" applyBorder="1"/>
    <xf numFmtId="37" fontId="9" fillId="0" borderId="1" xfId="1" applyNumberFormat="1" applyFont="1" applyFill="1" applyBorder="1" applyAlignment="1">
      <alignment horizontal="right"/>
    </xf>
    <xf numFmtId="0" fontId="7" fillId="0" borderId="1" xfId="0" applyFont="1" applyFill="1" applyBorder="1"/>
    <xf numFmtId="164" fontId="7" fillId="0" borderId="1" xfId="1" quotePrefix="1" applyNumberFormat="1" applyFont="1" applyFill="1" applyBorder="1"/>
    <xf numFmtId="37" fontId="8" fillId="2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/>
    </xf>
    <xf numFmtId="37" fontId="10" fillId="0" borderId="1" xfId="1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6" borderId="4" xfId="0" applyFont="1" applyFill="1" applyBorder="1" applyAlignment="1">
      <alignment horizontal="left"/>
    </xf>
    <xf numFmtId="37" fontId="7" fillId="6" borderId="1" xfId="0" applyNumberFormat="1" applyFont="1" applyFill="1" applyBorder="1" applyAlignment="1">
      <alignment horizontal="right"/>
    </xf>
    <xf numFmtId="0" fontId="8" fillId="7" borderId="2" xfId="0" applyFont="1" applyFill="1" applyBorder="1" applyAlignment="1">
      <alignment horizontal="center"/>
    </xf>
    <xf numFmtId="37" fontId="8" fillId="7" borderId="2" xfId="1" applyNumberFormat="1" applyFont="1" applyFill="1" applyBorder="1" applyAlignment="1">
      <alignment horizontal="right"/>
    </xf>
    <xf numFmtId="37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44"/>
  <sheetViews>
    <sheetView tabSelected="1" zoomScale="90" zoomScaleNormal="90" workbookViewId="0">
      <pane ySplit="3" topLeftCell="A425" activePane="bottomLeft" state="frozen"/>
      <selection pane="bottomLeft" activeCell="C444" sqref="C444"/>
    </sheetView>
  </sheetViews>
  <sheetFormatPr defaultColWidth="8.85546875" defaultRowHeight="12.75" x14ac:dyDescent="0.2"/>
  <cols>
    <col min="1" max="1" width="13.42578125" customWidth="1"/>
    <col min="2" max="2" width="70.7109375" style="1" customWidth="1"/>
    <col min="3" max="7" width="16.42578125" style="1" customWidth="1"/>
    <col min="8" max="8" width="20.28515625" style="1" customWidth="1"/>
    <col min="9" max="10" width="16.42578125" style="8" customWidth="1"/>
    <col min="11" max="16384" width="8.85546875" style="8"/>
  </cols>
  <sheetData>
    <row r="1" spans="1:10" ht="18" x14ac:dyDescent="0.25">
      <c r="A1" s="41" t="s">
        <v>519</v>
      </c>
      <c r="B1" s="42"/>
      <c r="C1" s="42"/>
      <c r="D1" s="42"/>
      <c r="E1" s="42"/>
      <c r="F1" s="42"/>
      <c r="G1" s="42"/>
      <c r="H1" s="42"/>
    </row>
    <row r="2" spans="1:10" ht="18" x14ac:dyDescent="0.25">
      <c r="A2" s="41" t="s">
        <v>520</v>
      </c>
      <c r="B2" s="42"/>
      <c r="C2" s="42"/>
      <c r="D2" s="42"/>
      <c r="E2" s="42"/>
      <c r="F2" s="42"/>
      <c r="G2" s="42"/>
      <c r="H2" s="42"/>
    </row>
    <row r="3" spans="1:10" customFormat="1" ht="48" customHeight="1" x14ac:dyDescent="0.25">
      <c r="A3" s="37" t="s">
        <v>343</v>
      </c>
      <c r="B3" s="38" t="s">
        <v>518</v>
      </c>
      <c r="C3" s="39">
        <v>2011</v>
      </c>
      <c r="D3" s="39">
        <v>2012</v>
      </c>
      <c r="E3" s="39">
        <v>2013</v>
      </c>
      <c r="F3" s="39">
        <v>2014</v>
      </c>
      <c r="G3" s="39">
        <v>2015</v>
      </c>
      <c r="H3" s="40" t="s">
        <v>55</v>
      </c>
      <c r="I3" s="6"/>
      <c r="J3" s="7"/>
    </row>
    <row r="4" spans="1:10" s="9" customFormat="1" ht="15.75" x14ac:dyDescent="0.25">
      <c r="A4" s="35"/>
      <c r="B4" s="16" t="s">
        <v>0</v>
      </c>
      <c r="C4" s="11"/>
      <c r="D4" s="11"/>
      <c r="E4" s="11"/>
      <c r="F4" s="11"/>
      <c r="G4" s="11"/>
      <c r="H4" s="3"/>
    </row>
    <row r="5" spans="1:10" s="9" customFormat="1" ht="15.75" x14ac:dyDescent="0.25">
      <c r="A5" s="35"/>
      <c r="B5" s="2" t="s">
        <v>104</v>
      </c>
      <c r="C5" s="11"/>
      <c r="D5" s="11"/>
      <c r="E5" s="11"/>
      <c r="F5" s="11">
        <v>300000</v>
      </c>
      <c r="G5" s="11"/>
      <c r="H5" s="22">
        <f t="shared" ref="H5:H67" si="0">SUM(C5:G5)</f>
        <v>300000</v>
      </c>
    </row>
    <row r="6" spans="1:10" s="21" customFormat="1" ht="15.75" x14ac:dyDescent="0.25">
      <c r="A6" s="17"/>
      <c r="B6" s="2" t="s">
        <v>57</v>
      </c>
      <c r="C6" s="18"/>
      <c r="D6" s="18"/>
      <c r="E6" s="18"/>
      <c r="F6" s="18"/>
      <c r="G6" s="18"/>
      <c r="H6" s="22">
        <f t="shared" si="0"/>
        <v>0</v>
      </c>
    </row>
    <row r="7" spans="1:10" s="21" customFormat="1" ht="15.75" x14ac:dyDescent="0.25">
      <c r="A7" s="14"/>
      <c r="B7" s="2" t="s">
        <v>69</v>
      </c>
      <c r="C7" s="18"/>
      <c r="D7" s="18"/>
      <c r="E7" s="18"/>
      <c r="F7" s="18">
        <v>300000</v>
      </c>
      <c r="G7" s="18"/>
      <c r="H7" s="22">
        <f t="shared" si="0"/>
        <v>300000</v>
      </c>
    </row>
    <row r="8" spans="1:10" s="21" customFormat="1" ht="15.75" x14ac:dyDescent="0.25">
      <c r="A8" s="14"/>
      <c r="B8" s="2" t="s">
        <v>70</v>
      </c>
      <c r="C8" s="18"/>
      <c r="D8" s="18"/>
      <c r="E8" s="18"/>
      <c r="F8" s="18">
        <v>600000</v>
      </c>
      <c r="G8" s="18"/>
      <c r="H8" s="22">
        <f t="shared" si="0"/>
        <v>600000</v>
      </c>
    </row>
    <row r="9" spans="1:10" s="21" customFormat="1" ht="15.75" x14ac:dyDescent="0.25">
      <c r="A9" s="14"/>
      <c r="B9" s="2" t="s">
        <v>60</v>
      </c>
      <c r="C9" s="18"/>
      <c r="D9" s="18"/>
      <c r="E9" s="18"/>
      <c r="F9" s="18">
        <v>200000</v>
      </c>
      <c r="G9" s="18"/>
      <c r="H9" s="22">
        <f t="shared" si="0"/>
        <v>200000</v>
      </c>
    </row>
    <row r="10" spans="1:10" s="21" customFormat="1" ht="15.75" x14ac:dyDescent="0.25">
      <c r="A10" s="14"/>
      <c r="B10" s="2" t="s">
        <v>19</v>
      </c>
      <c r="C10" s="18"/>
      <c r="D10" s="18"/>
      <c r="E10" s="18"/>
      <c r="F10" s="18">
        <v>1000000</v>
      </c>
      <c r="G10" s="18"/>
      <c r="H10" s="22">
        <f t="shared" si="0"/>
        <v>1000000</v>
      </c>
    </row>
    <row r="11" spans="1:10" s="21" customFormat="1" ht="15.75" x14ac:dyDescent="0.25">
      <c r="A11" s="14"/>
      <c r="B11" s="2" t="s">
        <v>40</v>
      </c>
      <c r="C11" s="18"/>
      <c r="D11" s="18"/>
      <c r="E11" s="18"/>
      <c r="F11" s="18">
        <v>250000</v>
      </c>
      <c r="G11" s="18"/>
      <c r="H11" s="22">
        <f t="shared" si="0"/>
        <v>250000</v>
      </c>
    </row>
    <row r="12" spans="1:10" s="21" customFormat="1" ht="15.75" x14ac:dyDescent="0.25">
      <c r="A12" s="14"/>
      <c r="B12" s="2" t="s">
        <v>13</v>
      </c>
      <c r="C12" s="18"/>
      <c r="D12" s="18">
        <v>250000</v>
      </c>
      <c r="E12" s="18"/>
      <c r="F12" s="18">
        <v>250000</v>
      </c>
      <c r="G12" s="18"/>
      <c r="H12" s="22">
        <f t="shared" si="0"/>
        <v>500000</v>
      </c>
    </row>
    <row r="13" spans="1:10" s="21" customFormat="1" ht="15.75" x14ac:dyDescent="0.25">
      <c r="A13" s="14"/>
      <c r="B13" s="2" t="s">
        <v>33</v>
      </c>
      <c r="C13" s="18"/>
      <c r="D13" s="18"/>
      <c r="E13" s="18"/>
      <c r="F13" s="18">
        <v>1500000</v>
      </c>
      <c r="G13" s="18"/>
      <c r="H13" s="22">
        <f t="shared" si="0"/>
        <v>1500000</v>
      </c>
    </row>
    <row r="14" spans="1:10" s="9" customFormat="1" ht="15.75" x14ac:dyDescent="0.25">
      <c r="A14" s="14"/>
      <c r="B14" s="2" t="s">
        <v>71</v>
      </c>
      <c r="C14" s="18"/>
      <c r="D14" s="18"/>
      <c r="E14" s="18"/>
      <c r="F14" s="18">
        <v>150000</v>
      </c>
      <c r="G14" s="18"/>
      <c r="H14" s="22">
        <f t="shared" si="0"/>
        <v>150000</v>
      </c>
    </row>
    <row r="15" spans="1:10" s="21" customFormat="1" ht="15.75" x14ac:dyDescent="0.25">
      <c r="A15" s="14"/>
      <c r="B15" s="2" t="s">
        <v>41</v>
      </c>
      <c r="C15" s="18"/>
      <c r="D15" s="18"/>
      <c r="E15" s="18"/>
      <c r="F15" s="18">
        <v>1500000</v>
      </c>
      <c r="G15" s="18"/>
      <c r="H15" s="22">
        <f t="shared" si="0"/>
        <v>1500000</v>
      </c>
    </row>
    <row r="16" spans="1:10" s="21" customFormat="1" ht="15.75" x14ac:dyDescent="0.25">
      <c r="A16" s="14"/>
      <c r="B16" s="2" t="s">
        <v>95</v>
      </c>
      <c r="C16" s="18"/>
      <c r="D16" s="18"/>
      <c r="E16" s="18"/>
      <c r="F16" s="18">
        <v>1500000</v>
      </c>
      <c r="G16" s="18"/>
      <c r="H16" s="22">
        <f t="shared" si="0"/>
        <v>1500000</v>
      </c>
    </row>
    <row r="17" spans="1:14" s="9" customFormat="1" ht="15.75" x14ac:dyDescent="0.25">
      <c r="A17" s="14"/>
      <c r="B17" s="2" t="s">
        <v>98</v>
      </c>
      <c r="C17" s="18"/>
      <c r="D17" s="18"/>
      <c r="E17" s="18"/>
      <c r="F17" s="18">
        <v>500000</v>
      </c>
      <c r="G17" s="18"/>
      <c r="H17" s="22">
        <f t="shared" si="0"/>
        <v>500000</v>
      </c>
    </row>
    <row r="18" spans="1:14" s="21" customFormat="1" ht="15.75" x14ac:dyDescent="0.25">
      <c r="A18" s="14"/>
      <c r="B18" s="2" t="s">
        <v>72</v>
      </c>
      <c r="C18" s="18"/>
      <c r="D18" s="18"/>
      <c r="E18" s="18"/>
      <c r="F18" s="18">
        <v>12191000</v>
      </c>
      <c r="G18" s="18"/>
      <c r="H18" s="22">
        <f t="shared" si="0"/>
        <v>12191000</v>
      </c>
    </row>
    <row r="19" spans="1:14" s="21" customFormat="1" ht="15.75" x14ac:dyDescent="0.25">
      <c r="A19" s="14"/>
      <c r="B19" s="2" t="s">
        <v>118</v>
      </c>
      <c r="C19" s="18"/>
      <c r="D19" s="18"/>
      <c r="E19" s="18"/>
      <c r="F19" s="18">
        <v>1750000</v>
      </c>
      <c r="G19" s="18"/>
      <c r="H19" s="22">
        <f t="shared" si="0"/>
        <v>1750000</v>
      </c>
    </row>
    <row r="20" spans="1:14" s="21" customFormat="1" ht="15.75" x14ac:dyDescent="0.25">
      <c r="A20" s="14"/>
      <c r="B20" s="2" t="s">
        <v>107</v>
      </c>
      <c r="C20" s="18"/>
      <c r="D20" s="18"/>
      <c r="E20" s="18"/>
      <c r="F20" s="18">
        <v>2000000</v>
      </c>
      <c r="G20" s="18"/>
      <c r="H20" s="22">
        <f t="shared" si="0"/>
        <v>2000000</v>
      </c>
    </row>
    <row r="21" spans="1:14" s="21" customFormat="1" ht="15.75" x14ac:dyDescent="0.25">
      <c r="A21" s="14"/>
      <c r="B21" s="2" t="s">
        <v>4</v>
      </c>
      <c r="C21" s="18"/>
      <c r="D21" s="18"/>
      <c r="E21" s="18"/>
      <c r="F21" s="18">
        <v>1200000</v>
      </c>
      <c r="G21" s="18"/>
      <c r="H21" s="22">
        <f t="shared" si="0"/>
        <v>1200000</v>
      </c>
    </row>
    <row r="22" spans="1:14" s="21" customFormat="1" ht="15.75" x14ac:dyDescent="0.25">
      <c r="A22" s="14"/>
      <c r="B22" s="2" t="s">
        <v>5</v>
      </c>
      <c r="C22" s="18"/>
      <c r="D22" s="18"/>
      <c r="E22" s="18"/>
      <c r="F22" s="18">
        <v>1000000</v>
      </c>
      <c r="G22" s="18"/>
      <c r="H22" s="22">
        <f t="shared" si="0"/>
        <v>1000000</v>
      </c>
    </row>
    <row r="23" spans="1:14" s="21" customFormat="1" ht="15.75" x14ac:dyDescent="0.25">
      <c r="A23" s="14"/>
      <c r="B23" s="2" t="s">
        <v>6</v>
      </c>
      <c r="C23" s="18"/>
      <c r="D23" s="18"/>
      <c r="E23" s="18"/>
      <c r="F23" s="18">
        <v>4000000</v>
      </c>
      <c r="G23" s="18"/>
      <c r="H23" s="22">
        <f t="shared" si="0"/>
        <v>4000000</v>
      </c>
    </row>
    <row r="24" spans="1:14" s="21" customFormat="1" ht="15.75" x14ac:dyDescent="0.25">
      <c r="A24" s="14"/>
      <c r="B24" s="2" t="s">
        <v>7</v>
      </c>
      <c r="C24" s="18"/>
      <c r="D24" s="18"/>
      <c r="E24" s="18"/>
      <c r="F24" s="18">
        <v>150000</v>
      </c>
      <c r="G24" s="18"/>
      <c r="H24" s="22">
        <f t="shared" si="0"/>
        <v>150000</v>
      </c>
    </row>
    <row r="25" spans="1:14" s="21" customFormat="1" ht="15.75" x14ac:dyDescent="0.25">
      <c r="A25" s="14"/>
      <c r="B25" s="2" t="s">
        <v>8</v>
      </c>
      <c r="C25" s="18"/>
      <c r="D25" s="18"/>
      <c r="E25" s="18"/>
      <c r="F25" s="18">
        <v>300000</v>
      </c>
      <c r="G25" s="18"/>
      <c r="H25" s="22">
        <f t="shared" si="0"/>
        <v>300000</v>
      </c>
    </row>
    <row r="26" spans="1:14" s="21" customFormat="1" ht="15.75" x14ac:dyDescent="0.25">
      <c r="A26" s="14"/>
      <c r="B26" s="2" t="s">
        <v>63</v>
      </c>
      <c r="C26" s="18"/>
      <c r="D26" s="18"/>
      <c r="E26" s="18"/>
      <c r="F26" s="18">
        <v>500000</v>
      </c>
      <c r="G26" s="18"/>
      <c r="H26" s="22">
        <f t="shared" si="0"/>
        <v>500000</v>
      </c>
    </row>
    <row r="27" spans="1:14" s="21" customFormat="1" ht="15.75" x14ac:dyDescent="0.25">
      <c r="A27" s="14"/>
      <c r="B27" s="2" t="s">
        <v>23</v>
      </c>
      <c r="C27" s="18"/>
      <c r="D27" s="18"/>
      <c r="E27" s="18"/>
      <c r="F27" s="18"/>
      <c r="G27" s="18"/>
      <c r="H27" s="22">
        <f t="shared" si="0"/>
        <v>0</v>
      </c>
    </row>
    <row r="28" spans="1:14" s="21" customFormat="1" ht="15.75" x14ac:dyDescent="0.25">
      <c r="A28" s="14"/>
      <c r="B28" s="2" t="s">
        <v>61</v>
      </c>
      <c r="C28" s="18"/>
      <c r="D28" s="18"/>
      <c r="E28" s="18"/>
      <c r="F28" s="18">
        <v>2500000</v>
      </c>
      <c r="G28" s="18"/>
      <c r="H28" s="22">
        <f t="shared" si="0"/>
        <v>2500000</v>
      </c>
    </row>
    <row r="29" spans="1:14" s="21" customFormat="1" ht="15.75" x14ac:dyDescent="0.25">
      <c r="A29" s="14"/>
      <c r="B29" s="2" t="s">
        <v>9</v>
      </c>
      <c r="C29" s="18"/>
      <c r="D29" s="18"/>
      <c r="E29" s="18"/>
      <c r="F29" s="18"/>
      <c r="G29" s="18"/>
      <c r="H29" s="22">
        <f t="shared" si="0"/>
        <v>0</v>
      </c>
    </row>
    <row r="30" spans="1:14" s="21" customFormat="1" ht="15.75" x14ac:dyDescent="0.25">
      <c r="A30" s="14"/>
      <c r="B30" s="2" t="s">
        <v>10</v>
      </c>
      <c r="C30" s="18"/>
      <c r="D30" s="18"/>
      <c r="E30" s="18"/>
      <c r="F30" s="18">
        <v>2500000</v>
      </c>
      <c r="G30" s="18"/>
      <c r="H30" s="22">
        <f t="shared" si="0"/>
        <v>2500000</v>
      </c>
    </row>
    <row r="31" spans="1:14" s="21" customFormat="1" ht="15.75" x14ac:dyDescent="0.25">
      <c r="A31" s="14" t="s">
        <v>420</v>
      </c>
      <c r="B31" s="2" t="s">
        <v>99</v>
      </c>
      <c r="C31" s="18">
        <f>450004+49982</f>
        <v>499986</v>
      </c>
      <c r="D31" s="18">
        <v>500000</v>
      </c>
      <c r="E31" s="18">
        <v>500000</v>
      </c>
      <c r="F31" s="18">
        <v>5000000</v>
      </c>
      <c r="G31" s="18">
        <v>500000</v>
      </c>
      <c r="H31" s="22">
        <f t="shared" si="0"/>
        <v>6999986</v>
      </c>
    </row>
    <row r="32" spans="1:14" s="9" customFormat="1" ht="15.75" x14ac:dyDescent="0.25">
      <c r="A32" s="43"/>
      <c r="B32" s="43" t="s">
        <v>126</v>
      </c>
      <c r="C32" s="44">
        <f t="shared" ref="C32:H32" si="1">SUM(C5:C31)</f>
        <v>499986</v>
      </c>
      <c r="D32" s="44">
        <f t="shared" si="1"/>
        <v>750000</v>
      </c>
      <c r="E32" s="44">
        <f t="shared" si="1"/>
        <v>500000</v>
      </c>
      <c r="F32" s="44">
        <f t="shared" si="1"/>
        <v>41141000</v>
      </c>
      <c r="G32" s="44">
        <f t="shared" si="1"/>
        <v>500000</v>
      </c>
      <c r="H32" s="44">
        <f t="shared" si="1"/>
        <v>43390986</v>
      </c>
      <c r="I32" s="21" t="s">
        <v>329</v>
      </c>
      <c r="K32" s="21"/>
      <c r="L32" s="21"/>
      <c r="M32" s="21"/>
      <c r="N32" s="21"/>
    </row>
    <row r="33" spans="1:9" s="9" customFormat="1" ht="15.75" x14ac:dyDescent="0.25">
      <c r="A33" s="14"/>
      <c r="B33" s="5"/>
      <c r="C33" s="10"/>
      <c r="D33" s="10"/>
      <c r="E33" s="10"/>
      <c r="F33" s="10"/>
      <c r="G33" s="10"/>
      <c r="H33" s="4"/>
      <c r="I33" s="21"/>
    </row>
    <row r="34" spans="1:9" s="9" customFormat="1" ht="15.75" x14ac:dyDescent="0.25">
      <c r="A34" s="14"/>
      <c r="B34" s="16" t="s">
        <v>1</v>
      </c>
      <c r="C34" s="11"/>
      <c r="D34" s="11"/>
      <c r="E34" s="11"/>
      <c r="F34" s="11"/>
      <c r="G34" s="11"/>
      <c r="H34" s="3"/>
      <c r="I34" s="21"/>
    </row>
    <row r="35" spans="1:9" s="9" customFormat="1" ht="15.75" x14ac:dyDescent="0.25">
      <c r="A35" s="14"/>
      <c r="B35" s="5" t="s">
        <v>104</v>
      </c>
      <c r="C35" s="10"/>
      <c r="D35" s="10"/>
      <c r="E35" s="10"/>
      <c r="F35" s="10"/>
      <c r="G35" s="15">
        <v>300000</v>
      </c>
      <c r="H35" s="22">
        <f t="shared" si="0"/>
        <v>300000</v>
      </c>
    </row>
    <row r="36" spans="1:9" s="9" customFormat="1" ht="15.75" x14ac:dyDescent="0.25">
      <c r="A36" s="14" t="s">
        <v>419</v>
      </c>
      <c r="B36" s="2" t="s">
        <v>11</v>
      </c>
      <c r="C36" s="18">
        <f>2400000+100000</f>
        <v>2500000</v>
      </c>
      <c r="D36" s="18"/>
      <c r="E36" s="18"/>
      <c r="F36" s="18"/>
      <c r="G36" s="18"/>
      <c r="H36" s="22">
        <f t="shared" si="0"/>
        <v>2500000</v>
      </c>
    </row>
    <row r="37" spans="1:9" s="9" customFormat="1" ht="15.75" x14ac:dyDescent="0.25">
      <c r="A37" s="14"/>
      <c r="B37" s="2" t="s">
        <v>57</v>
      </c>
      <c r="C37" s="18"/>
      <c r="D37" s="18"/>
      <c r="E37" s="18"/>
      <c r="F37" s="18"/>
      <c r="G37" s="18">
        <v>1000000</v>
      </c>
      <c r="H37" s="22">
        <f t="shared" si="0"/>
        <v>1000000</v>
      </c>
    </row>
    <row r="38" spans="1:9" s="9" customFormat="1" ht="15.75" x14ac:dyDescent="0.25">
      <c r="A38" s="14" t="s">
        <v>483</v>
      </c>
      <c r="B38" s="2" t="s">
        <v>12</v>
      </c>
      <c r="C38" s="18">
        <f>151000+13600</f>
        <v>164600</v>
      </c>
      <c r="D38" s="18"/>
      <c r="E38" s="18"/>
      <c r="F38" s="18"/>
      <c r="G38" s="18"/>
      <c r="H38" s="22">
        <f t="shared" si="0"/>
        <v>164600</v>
      </c>
    </row>
    <row r="39" spans="1:9" s="9" customFormat="1" ht="15.75" x14ac:dyDescent="0.25">
      <c r="A39" s="14"/>
      <c r="B39" s="2" t="s">
        <v>13</v>
      </c>
      <c r="C39" s="18"/>
      <c r="D39" s="18"/>
      <c r="E39" s="18">
        <v>250000</v>
      </c>
      <c r="F39" s="18"/>
      <c r="G39" s="18">
        <v>250000</v>
      </c>
      <c r="H39" s="22">
        <f t="shared" si="0"/>
        <v>500000</v>
      </c>
    </row>
    <row r="40" spans="1:9" s="9" customFormat="1" ht="15.75" x14ac:dyDescent="0.25">
      <c r="A40" s="14"/>
      <c r="B40" s="2" t="s">
        <v>59</v>
      </c>
      <c r="C40" s="18"/>
      <c r="D40" s="18"/>
      <c r="E40" s="18"/>
      <c r="F40" s="18"/>
      <c r="G40" s="18">
        <v>250000</v>
      </c>
      <c r="H40" s="22">
        <f t="shared" si="0"/>
        <v>250000</v>
      </c>
    </row>
    <row r="41" spans="1:9" s="9" customFormat="1" ht="15.75" x14ac:dyDescent="0.25">
      <c r="A41" s="14" t="s">
        <v>484</v>
      </c>
      <c r="B41" s="2" t="s">
        <v>14</v>
      </c>
      <c r="C41" s="18">
        <f>2015000+265000</f>
        <v>2280000</v>
      </c>
      <c r="D41" s="18"/>
      <c r="E41" s="18"/>
      <c r="F41" s="18"/>
      <c r="G41" s="18"/>
      <c r="H41" s="22">
        <f t="shared" si="0"/>
        <v>2280000</v>
      </c>
    </row>
    <row r="42" spans="1:9" s="9" customFormat="1" ht="15.75" x14ac:dyDescent="0.25">
      <c r="A42" s="14" t="s">
        <v>485</v>
      </c>
      <c r="B42" s="2" t="s">
        <v>15</v>
      </c>
      <c r="C42" s="18">
        <f>802310+280000</f>
        <v>1082310</v>
      </c>
      <c r="D42" s="18"/>
      <c r="E42" s="18"/>
      <c r="F42" s="18"/>
      <c r="G42" s="18"/>
      <c r="H42" s="22">
        <f t="shared" si="0"/>
        <v>1082310</v>
      </c>
    </row>
    <row r="43" spans="1:9" s="9" customFormat="1" ht="15.75" x14ac:dyDescent="0.25">
      <c r="A43" s="14" t="s">
        <v>489</v>
      </c>
      <c r="B43" s="2" t="s">
        <v>60</v>
      </c>
      <c r="C43" s="18">
        <f>180000+19999</f>
        <v>199999</v>
      </c>
      <c r="D43" s="18"/>
      <c r="E43" s="18"/>
      <c r="F43" s="18"/>
      <c r="G43" s="18">
        <v>200000</v>
      </c>
      <c r="H43" s="22">
        <f t="shared" si="0"/>
        <v>399999</v>
      </c>
    </row>
    <row r="44" spans="1:9" s="9" customFormat="1" ht="15.75" x14ac:dyDescent="0.25">
      <c r="A44" s="14"/>
      <c r="B44" s="2" t="s">
        <v>16</v>
      </c>
      <c r="C44" s="18"/>
      <c r="D44" s="18"/>
      <c r="E44" s="18"/>
      <c r="F44" s="18"/>
      <c r="G44" s="18">
        <v>4500000</v>
      </c>
      <c r="H44" s="22">
        <f t="shared" si="0"/>
        <v>4500000</v>
      </c>
    </row>
    <row r="45" spans="1:9" s="9" customFormat="1" ht="15.75" x14ac:dyDescent="0.25">
      <c r="A45" s="14"/>
      <c r="B45" s="2" t="s">
        <v>58</v>
      </c>
      <c r="C45" s="18"/>
      <c r="D45" s="18"/>
      <c r="E45" s="18"/>
      <c r="F45" s="18"/>
      <c r="G45" s="18">
        <v>1500000</v>
      </c>
      <c r="H45" s="22">
        <f t="shared" si="0"/>
        <v>1500000</v>
      </c>
    </row>
    <row r="46" spans="1:9" s="9" customFormat="1" ht="15.75" x14ac:dyDescent="0.25">
      <c r="A46" s="14" t="s">
        <v>495</v>
      </c>
      <c r="B46" s="2" t="s">
        <v>71</v>
      </c>
      <c r="C46" s="18">
        <f>135000+14999</f>
        <v>149999</v>
      </c>
      <c r="D46" s="18"/>
      <c r="E46" s="18"/>
      <c r="F46" s="18"/>
      <c r="G46" s="18"/>
      <c r="H46" s="22">
        <f t="shared" si="0"/>
        <v>149999</v>
      </c>
    </row>
    <row r="47" spans="1:9" s="9" customFormat="1" ht="15.75" x14ac:dyDescent="0.25">
      <c r="A47" s="14"/>
      <c r="B47" s="2" t="s">
        <v>41</v>
      </c>
      <c r="C47" s="18"/>
      <c r="D47" s="18"/>
      <c r="E47" s="18"/>
      <c r="F47" s="18"/>
      <c r="G47" s="18">
        <v>1500000</v>
      </c>
      <c r="H47" s="22">
        <f t="shared" si="0"/>
        <v>1500000</v>
      </c>
    </row>
    <row r="48" spans="1:9" s="9" customFormat="1" ht="15.75" x14ac:dyDescent="0.25">
      <c r="A48" s="14" t="s">
        <v>494</v>
      </c>
      <c r="B48" s="2" t="s">
        <v>95</v>
      </c>
      <c r="C48" s="18">
        <v>1452010</v>
      </c>
      <c r="D48" s="18"/>
      <c r="E48" s="18"/>
      <c r="F48" s="18"/>
      <c r="G48" s="18"/>
      <c r="H48" s="22">
        <f t="shared" si="0"/>
        <v>1452010</v>
      </c>
    </row>
    <row r="49" spans="1:8" s="9" customFormat="1" ht="15.75" x14ac:dyDescent="0.25">
      <c r="A49" s="14" t="s">
        <v>486</v>
      </c>
      <c r="B49" s="2" t="s">
        <v>98</v>
      </c>
      <c r="C49" s="18">
        <f>174878+13986</f>
        <v>188864</v>
      </c>
      <c r="D49" s="18"/>
      <c r="E49" s="18"/>
      <c r="F49" s="18"/>
      <c r="G49" s="18"/>
      <c r="H49" s="22">
        <f t="shared" si="0"/>
        <v>188864</v>
      </c>
    </row>
    <row r="50" spans="1:8" s="9" customFormat="1" ht="15.75" x14ac:dyDescent="0.25">
      <c r="A50" s="14"/>
      <c r="B50" s="2" t="s">
        <v>56</v>
      </c>
      <c r="C50" s="18"/>
      <c r="D50" s="18"/>
      <c r="E50" s="18"/>
      <c r="F50" s="18"/>
      <c r="G50" s="18">
        <v>600000</v>
      </c>
      <c r="H50" s="22">
        <f t="shared" si="0"/>
        <v>600000</v>
      </c>
    </row>
    <row r="51" spans="1:8" s="9" customFormat="1" ht="15.75" x14ac:dyDescent="0.25">
      <c r="A51" s="14"/>
      <c r="B51" s="2" t="s">
        <v>18</v>
      </c>
      <c r="C51" s="18"/>
      <c r="D51" s="18"/>
      <c r="E51" s="18"/>
      <c r="F51" s="18"/>
      <c r="G51" s="18">
        <v>3000000</v>
      </c>
      <c r="H51" s="22">
        <f t="shared" si="0"/>
        <v>3000000</v>
      </c>
    </row>
    <row r="52" spans="1:8" s="9" customFormat="1" ht="15.75" x14ac:dyDescent="0.25">
      <c r="A52" s="14"/>
      <c r="B52" s="2" t="s">
        <v>19</v>
      </c>
      <c r="C52" s="18"/>
      <c r="D52" s="18"/>
      <c r="E52" s="18"/>
      <c r="F52" s="18"/>
      <c r="G52" s="18">
        <v>1000000</v>
      </c>
      <c r="H52" s="22">
        <f t="shared" si="0"/>
        <v>1000000</v>
      </c>
    </row>
    <row r="53" spans="1:8" s="9" customFormat="1" ht="15.75" x14ac:dyDescent="0.25">
      <c r="A53" s="14" t="s">
        <v>493</v>
      </c>
      <c r="B53" s="2" t="s">
        <v>20</v>
      </c>
      <c r="C53" s="18">
        <f>7466000+2984000</f>
        <v>10450000</v>
      </c>
      <c r="D53" s="18"/>
      <c r="E53" s="18"/>
      <c r="F53" s="18"/>
      <c r="G53" s="18"/>
      <c r="H53" s="22">
        <f t="shared" si="0"/>
        <v>10450000</v>
      </c>
    </row>
    <row r="54" spans="1:8" s="9" customFormat="1" ht="15.75" x14ac:dyDescent="0.25">
      <c r="A54" s="14" t="s">
        <v>496</v>
      </c>
      <c r="B54" s="2" t="s">
        <v>21</v>
      </c>
      <c r="C54" s="18">
        <f>417580+7500</f>
        <v>425080</v>
      </c>
      <c r="D54" s="18"/>
      <c r="E54" s="18"/>
      <c r="F54" s="18"/>
      <c r="G54" s="18"/>
      <c r="H54" s="22">
        <f t="shared" si="0"/>
        <v>425080</v>
      </c>
    </row>
    <row r="55" spans="1:8" s="9" customFormat="1" ht="15.75" x14ac:dyDescent="0.25">
      <c r="A55" s="14" t="s">
        <v>490</v>
      </c>
      <c r="B55" s="2" t="s">
        <v>22</v>
      </c>
      <c r="C55" s="18">
        <f>225000+24999</f>
        <v>249999</v>
      </c>
      <c r="D55" s="18"/>
      <c r="E55" s="18"/>
      <c r="F55" s="18"/>
      <c r="G55" s="18"/>
      <c r="H55" s="22">
        <f t="shared" si="0"/>
        <v>249999</v>
      </c>
    </row>
    <row r="56" spans="1:8" s="9" customFormat="1" ht="15.75" x14ac:dyDescent="0.25">
      <c r="A56" s="14"/>
      <c r="B56" s="2" t="s">
        <v>61</v>
      </c>
      <c r="C56" s="18"/>
      <c r="D56" s="18"/>
      <c r="E56" s="18"/>
      <c r="F56" s="18"/>
      <c r="G56" s="18">
        <v>2500000</v>
      </c>
      <c r="H56" s="22">
        <f t="shared" si="0"/>
        <v>2500000</v>
      </c>
    </row>
    <row r="57" spans="1:8" s="9" customFormat="1" ht="15.75" x14ac:dyDescent="0.25">
      <c r="A57" s="14" t="s">
        <v>492</v>
      </c>
      <c r="B57" s="2" t="s">
        <v>118</v>
      </c>
      <c r="C57" s="18">
        <f>1424402+242500</f>
        <v>1666902</v>
      </c>
      <c r="D57" s="18"/>
      <c r="E57" s="18"/>
      <c r="F57" s="18"/>
      <c r="G57" s="18"/>
      <c r="H57" s="22">
        <f t="shared" si="0"/>
        <v>1666902</v>
      </c>
    </row>
    <row r="58" spans="1:8" s="9" customFormat="1" ht="15.75" x14ac:dyDescent="0.25">
      <c r="A58" s="14"/>
      <c r="B58" s="2" t="s">
        <v>9</v>
      </c>
      <c r="C58" s="18"/>
      <c r="D58" s="18"/>
      <c r="E58" s="18"/>
      <c r="F58" s="18"/>
      <c r="G58" s="18"/>
      <c r="H58" s="22">
        <f t="shared" si="0"/>
        <v>0</v>
      </c>
    </row>
    <row r="59" spans="1:8" s="9" customFormat="1" ht="15.75" x14ac:dyDescent="0.25">
      <c r="A59" s="14" t="s">
        <v>491</v>
      </c>
      <c r="B59" s="2" t="s">
        <v>365</v>
      </c>
      <c r="C59" s="18">
        <f>270000+29999</f>
        <v>299999</v>
      </c>
      <c r="D59" s="18"/>
      <c r="E59" s="18"/>
      <c r="F59" s="18"/>
      <c r="G59" s="18">
        <v>2000000</v>
      </c>
      <c r="H59" s="22">
        <f t="shared" si="0"/>
        <v>2299999</v>
      </c>
    </row>
    <row r="60" spans="1:8" s="9" customFormat="1" ht="15.75" x14ac:dyDescent="0.25">
      <c r="A60" s="14"/>
      <c r="B60" s="2" t="s">
        <v>97</v>
      </c>
      <c r="C60" s="18"/>
      <c r="D60" s="18"/>
      <c r="E60" s="18"/>
      <c r="F60" s="18"/>
      <c r="G60" s="18">
        <v>3500000</v>
      </c>
      <c r="H60" s="22">
        <f t="shared" si="0"/>
        <v>3500000</v>
      </c>
    </row>
    <row r="61" spans="1:8" s="9" customFormat="1" ht="15.75" x14ac:dyDescent="0.25">
      <c r="A61" s="14" t="s">
        <v>487</v>
      </c>
      <c r="B61" s="2" t="s">
        <v>6</v>
      </c>
      <c r="C61" s="18">
        <f>1795237+374000</f>
        <v>2169237</v>
      </c>
      <c r="D61" s="18"/>
      <c r="E61" s="18"/>
      <c r="F61" s="18"/>
      <c r="G61" s="18"/>
      <c r="H61" s="22">
        <f t="shared" si="0"/>
        <v>2169237</v>
      </c>
    </row>
    <row r="62" spans="1:8" s="9" customFormat="1" ht="15.75" x14ac:dyDescent="0.25">
      <c r="A62" s="14"/>
      <c r="B62" s="2" t="s">
        <v>8</v>
      </c>
      <c r="C62" s="18"/>
      <c r="D62" s="18"/>
      <c r="E62" s="18"/>
      <c r="F62" s="18"/>
      <c r="G62" s="18">
        <v>300000</v>
      </c>
      <c r="H62" s="22">
        <f t="shared" si="0"/>
        <v>300000</v>
      </c>
    </row>
    <row r="63" spans="1:8" s="9" customFormat="1" ht="15.75" x14ac:dyDescent="0.25">
      <c r="A63" s="14"/>
      <c r="B63" s="2" t="s">
        <v>63</v>
      </c>
      <c r="C63" s="18"/>
      <c r="D63" s="18"/>
      <c r="E63" s="18"/>
      <c r="F63" s="18"/>
      <c r="G63" s="18">
        <v>500000</v>
      </c>
      <c r="H63" s="22">
        <f t="shared" si="0"/>
        <v>500000</v>
      </c>
    </row>
    <row r="64" spans="1:8" s="9" customFormat="1" ht="15.75" x14ac:dyDescent="0.25">
      <c r="A64" s="14"/>
      <c r="B64" s="2" t="s">
        <v>62</v>
      </c>
      <c r="C64" s="18"/>
      <c r="D64" s="18"/>
      <c r="E64" s="18"/>
      <c r="F64" s="18"/>
      <c r="G64" s="18"/>
      <c r="H64" s="22">
        <f t="shared" si="0"/>
        <v>0</v>
      </c>
    </row>
    <row r="65" spans="1:14" s="9" customFormat="1" ht="15.75" x14ac:dyDescent="0.25">
      <c r="A65" s="14" t="s">
        <v>488</v>
      </c>
      <c r="B65" s="2" t="s">
        <v>366</v>
      </c>
      <c r="C65" s="18">
        <f>1508010+122000</f>
        <v>1630010</v>
      </c>
      <c r="D65" s="18"/>
      <c r="E65" s="18"/>
      <c r="F65" s="18"/>
      <c r="G65" s="18"/>
      <c r="H65" s="22">
        <f t="shared" si="0"/>
        <v>1630010</v>
      </c>
    </row>
    <row r="66" spans="1:14" s="9" customFormat="1" ht="15.75" x14ac:dyDescent="0.25">
      <c r="A66" s="14"/>
      <c r="B66" s="2" t="s">
        <v>10</v>
      </c>
      <c r="C66" s="18"/>
      <c r="D66" s="18"/>
      <c r="E66" s="18"/>
      <c r="F66" s="18"/>
      <c r="G66" s="18">
        <v>2500000</v>
      </c>
      <c r="H66" s="22">
        <f t="shared" si="0"/>
        <v>2500000</v>
      </c>
    </row>
    <row r="67" spans="1:14" s="9" customFormat="1" ht="15.75" x14ac:dyDescent="0.25">
      <c r="A67" s="14" t="s">
        <v>421</v>
      </c>
      <c r="B67" s="2" t="s">
        <v>99</v>
      </c>
      <c r="C67" s="18">
        <f>1524257+149998</f>
        <v>1674255</v>
      </c>
      <c r="D67" s="18">
        <v>500000</v>
      </c>
      <c r="E67" s="18">
        <v>500000</v>
      </c>
      <c r="F67" s="18">
        <v>500000</v>
      </c>
      <c r="G67" s="18">
        <v>5000000</v>
      </c>
      <c r="H67" s="22">
        <f t="shared" si="0"/>
        <v>8174255</v>
      </c>
    </row>
    <row r="68" spans="1:14" s="9" customFormat="1" ht="15.75" x14ac:dyDescent="0.25">
      <c r="A68" s="43"/>
      <c r="B68" s="43" t="s">
        <v>127</v>
      </c>
      <c r="C68" s="44">
        <f t="shared" ref="C68:H68" si="2">SUM(C35:C67)</f>
        <v>26583264</v>
      </c>
      <c r="D68" s="44">
        <f t="shared" si="2"/>
        <v>500000</v>
      </c>
      <c r="E68" s="44">
        <f t="shared" si="2"/>
        <v>750000</v>
      </c>
      <c r="F68" s="44">
        <f t="shared" si="2"/>
        <v>500000</v>
      </c>
      <c r="G68" s="44">
        <f t="shared" si="2"/>
        <v>30400000</v>
      </c>
      <c r="H68" s="44">
        <f t="shared" si="2"/>
        <v>58733264</v>
      </c>
      <c r="I68" s="21" t="s">
        <v>329</v>
      </c>
      <c r="K68" s="21"/>
      <c r="L68" s="21"/>
      <c r="M68" s="21"/>
      <c r="N68" s="21"/>
    </row>
    <row r="69" spans="1:14" s="9" customFormat="1" ht="15.75" x14ac:dyDescent="0.25">
      <c r="A69" s="14"/>
      <c r="B69" s="5"/>
      <c r="C69" s="10"/>
      <c r="D69" s="10"/>
      <c r="E69" s="10"/>
      <c r="F69" s="10"/>
      <c r="G69" s="10"/>
      <c r="H69" s="4"/>
    </row>
    <row r="70" spans="1:14" s="9" customFormat="1" ht="15.75" x14ac:dyDescent="0.25">
      <c r="A70" s="14"/>
      <c r="B70" s="19" t="s">
        <v>2</v>
      </c>
      <c r="C70" s="11"/>
      <c r="D70" s="11"/>
      <c r="E70" s="11"/>
      <c r="F70" s="11"/>
      <c r="G70" s="11"/>
      <c r="H70" s="3"/>
    </row>
    <row r="71" spans="1:14" s="9" customFormat="1" ht="15.75" x14ac:dyDescent="0.25">
      <c r="A71" s="14"/>
      <c r="B71" s="2" t="s">
        <v>104</v>
      </c>
      <c r="C71" s="15"/>
      <c r="D71" s="15"/>
      <c r="E71" s="15"/>
      <c r="F71" s="15"/>
      <c r="G71" s="15"/>
      <c r="H71" s="22">
        <f t="shared" ref="H71:H106" si="3">SUM(C71:G71)</f>
        <v>0</v>
      </c>
    </row>
    <row r="72" spans="1:14" s="21" customFormat="1" ht="15.75" x14ac:dyDescent="0.25">
      <c r="A72" s="14"/>
      <c r="B72" s="2" t="s">
        <v>11</v>
      </c>
      <c r="C72" s="18"/>
      <c r="D72" s="18">
        <v>2500000</v>
      </c>
      <c r="E72" s="18"/>
      <c r="F72" s="18"/>
      <c r="G72" s="18"/>
      <c r="H72" s="22">
        <f t="shared" si="3"/>
        <v>2500000</v>
      </c>
    </row>
    <row r="73" spans="1:14" s="21" customFormat="1" ht="15.75" x14ac:dyDescent="0.25">
      <c r="A73" s="14"/>
      <c r="B73" s="2" t="s">
        <v>57</v>
      </c>
      <c r="C73" s="18"/>
      <c r="D73" s="18">
        <v>1000000</v>
      </c>
      <c r="E73" s="18"/>
      <c r="F73" s="18"/>
      <c r="G73" s="18"/>
      <c r="H73" s="22">
        <f t="shared" si="3"/>
        <v>1000000</v>
      </c>
    </row>
    <row r="74" spans="1:14" s="21" customFormat="1" ht="15.75" x14ac:dyDescent="0.25">
      <c r="A74" s="14"/>
      <c r="B74" s="2" t="s">
        <v>25</v>
      </c>
      <c r="C74" s="18"/>
      <c r="D74" s="18">
        <v>250000</v>
      </c>
      <c r="E74" s="18"/>
      <c r="F74" s="18"/>
      <c r="G74" s="18"/>
      <c r="H74" s="22">
        <f t="shared" si="3"/>
        <v>250000</v>
      </c>
    </row>
    <row r="75" spans="1:14" s="21" customFormat="1" ht="15.75" x14ac:dyDescent="0.25">
      <c r="A75" s="14"/>
      <c r="B75" s="2" t="s">
        <v>13</v>
      </c>
      <c r="C75" s="18"/>
      <c r="D75" s="18">
        <v>250000</v>
      </c>
      <c r="E75" s="18"/>
      <c r="F75" s="18">
        <v>250000</v>
      </c>
      <c r="G75" s="18"/>
      <c r="H75" s="22">
        <f t="shared" si="3"/>
        <v>500000</v>
      </c>
    </row>
    <row r="76" spans="1:14" s="21" customFormat="1" ht="15.75" x14ac:dyDescent="0.25">
      <c r="A76" s="14"/>
      <c r="B76" s="2" t="s">
        <v>14</v>
      </c>
      <c r="C76" s="18"/>
      <c r="D76" s="18"/>
      <c r="E76" s="18"/>
      <c r="F76" s="18"/>
      <c r="G76" s="18"/>
      <c r="H76" s="22">
        <f t="shared" si="3"/>
        <v>0</v>
      </c>
    </row>
    <row r="77" spans="1:14" s="21" customFormat="1" ht="15.75" x14ac:dyDescent="0.25">
      <c r="A77" s="14"/>
      <c r="B77" s="2" t="s">
        <v>15</v>
      </c>
      <c r="C77" s="18"/>
      <c r="D77" s="18"/>
      <c r="E77" s="18"/>
      <c r="F77" s="18"/>
      <c r="G77" s="18"/>
      <c r="H77" s="22">
        <f t="shared" si="3"/>
        <v>0</v>
      </c>
    </row>
    <row r="78" spans="1:14" s="21" customFormat="1" ht="15.75" x14ac:dyDescent="0.25">
      <c r="A78" s="14"/>
      <c r="B78" s="2" t="s">
        <v>27</v>
      </c>
      <c r="C78" s="18"/>
      <c r="D78" s="18">
        <v>1000000</v>
      </c>
      <c r="E78" s="18"/>
      <c r="F78" s="18"/>
      <c r="G78" s="18"/>
      <c r="H78" s="22">
        <f t="shared" si="3"/>
        <v>1000000</v>
      </c>
    </row>
    <row r="79" spans="1:14" s="21" customFormat="1" ht="15.75" x14ac:dyDescent="0.25">
      <c r="A79" s="14"/>
      <c r="B79" s="2" t="s">
        <v>60</v>
      </c>
      <c r="C79" s="18"/>
      <c r="D79" s="18">
        <v>200000</v>
      </c>
      <c r="E79" s="18"/>
      <c r="F79" s="18"/>
      <c r="G79" s="18"/>
      <c r="H79" s="22">
        <f t="shared" si="3"/>
        <v>200000</v>
      </c>
    </row>
    <row r="80" spans="1:14" s="21" customFormat="1" ht="15.75" x14ac:dyDescent="0.25">
      <c r="A80" s="14"/>
      <c r="B80" s="2" t="s">
        <v>28</v>
      </c>
      <c r="C80" s="18"/>
      <c r="D80" s="18">
        <v>3000000</v>
      </c>
      <c r="E80" s="18"/>
      <c r="F80" s="18"/>
      <c r="G80" s="18"/>
      <c r="H80" s="22">
        <f t="shared" si="3"/>
        <v>3000000</v>
      </c>
    </row>
    <row r="81" spans="1:8" s="21" customFormat="1" ht="15.75" x14ac:dyDescent="0.25">
      <c r="A81" s="14"/>
      <c r="B81" s="2" t="s">
        <v>105</v>
      </c>
      <c r="C81" s="18"/>
      <c r="D81" s="18">
        <v>200000</v>
      </c>
      <c r="E81" s="18"/>
      <c r="F81" s="18"/>
      <c r="G81" s="18"/>
      <c r="H81" s="22">
        <f t="shared" si="3"/>
        <v>200000</v>
      </c>
    </row>
    <row r="82" spans="1:8" s="21" customFormat="1" ht="15.75" x14ac:dyDescent="0.25">
      <c r="A82" s="14"/>
      <c r="B82" s="2" t="s">
        <v>29</v>
      </c>
      <c r="C82" s="18"/>
      <c r="D82" s="18"/>
      <c r="E82" s="18"/>
      <c r="F82" s="18"/>
      <c r="G82" s="18"/>
      <c r="H82" s="22">
        <f t="shared" si="3"/>
        <v>0</v>
      </c>
    </row>
    <row r="83" spans="1:8" s="21" customFormat="1" ht="15.75" x14ac:dyDescent="0.25">
      <c r="A83" s="14"/>
      <c r="B83" s="2" t="s">
        <v>30</v>
      </c>
      <c r="C83" s="18"/>
      <c r="D83" s="18">
        <v>2500000</v>
      </c>
      <c r="E83" s="18"/>
      <c r="F83" s="18"/>
      <c r="G83" s="18"/>
      <c r="H83" s="22">
        <f t="shared" si="3"/>
        <v>2500000</v>
      </c>
    </row>
    <row r="84" spans="1:8" s="21" customFormat="1" ht="15.75" x14ac:dyDescent="0.25">
      <c r="A84" s="14"/>
      <c r="B84" s="2" t="s">
        <v>31</v>
      </c>
      <c r="C84" s="18"/>
      <c r="D84" s="18"/>
      <c r="E84" s="18"/>
      <c r="F84" s="18"/>
      <c r="G84" s="18"/>
      <c r="H84" s="22">
        <f t="shared" si="3"/>
        <v>0</v>
      </c>
    </row>
    <row r="85" spans="1:8" s="21" customFormat="1" ht="15.75" x14ac:dyDescent="0.25">
      <c r="A85" s="14"/>
      <c r="B85" s="2" t="s">
        <v>32</v>
      </c>
      <c r="C85" s="18"/>
      <c r="D85" s="18">
        <v>5000000</v>
      </c>
      <c r="E85" s="18"/>
      <c r="F85" s="18"/>
      <c r="G85" s="18"/>
      <c r="H85" s="22">
        <f t="shared" si="3"/>
        <v>5000000</v>
      </c>
    </row>
    <row r="86" spans="1:8" s="21" customFormat="1" ht="15.75" x14ac:dyDescent="0.25">
      <c r="A86" s="14"/>
      <c r="B86" s="2" t="s">
        <v>33</v>
      </c>
      <c r="C86" s="18"/>
      <c r="D86" s="18">
        <v>1500000</v>
      </c>
      <c r="E86" s="18"/>
      <c r="F86" s="18"/>
      <c r="G86" s="18"/>
      <c r="H86" s="22">
        <f t="shared" si="3"/>
        <v>1500000</v>
      </c>
    </row>
    <row r="87" spans="1:8" s="21" customFormat="1" ht="15.75" x14ac:dyDescent="0.25">
      <c r="A87" s="14"/>
      <c r="B87" s="2" t="s">
        <v>17</v>
      </c>
      <c r="C87" s="18"/>
      <c r="D87" s="18">
        <v>1500000</v>
      </c>
      <c r="E87" s="18"/>
      <c r="F87" s="18"/>
      <c r="G87" s="18"/>
      <c r="H87" s="22">
        <f t="shared" si="3"/>
        <v>1500000</v>
      </c>
    </row>
    <row r="88" spans="1:8" s="21" customFormat="1" ht="15.75" x14ac:dyDescent="0.25">
      <c r="A88" s="14"/>
      <c r="B88" s="2" t="s">
        <v>34</v>
      </c>
      <c r="C88" s="18"/>
      <c r="D88" s="18"/>
      <c r="E88" s="18"/>
      <c r="F88" s="18"/>
      <c r="G88" s="18"/>
      <c r="H88" s="22">
        <f t="shared" si="3"/>
        <v>0</v>
      </c>
    </row>
    <row r="89" spans="1:8" s="21" customFormat="1" ht="15.75" x14ac:dyDescent="0.25">
      <c r="A89" s="14"/>
      <c r="B89" s="2" t="s">
        <v>35</v>
      </c>
      <c r="C89" s="18"/>
      <c r="D89" s="18"/>
      <c r="E89" s="18"/>
      <c r="F89" s="18"/>
      <c r="G89" s="18"/>
      <c r="H89" s="22">
        <f t="shared" si="3"/>
        <v>0</v>
      </c>
    </row>
    <row r="90" spans="1:8" s="21" customFormat="1" ht="15.75" x14ac:dyDescent="0.25">
      <c r="A90" s="14"/>
      <c r="B90" s="2" t="s">
        <v>56</v>
      </c>
      <c r="C90" s="18"/>
      <c r="D90" s="18">
        <v>600000</v>
      </c>
      <c r="E90" s="18"/>
      <c r="F90" s="18"/>
      <c r="G90" s="18"/>
      <c r="H90" s="22">
        <f t="shared" si="3"/>
        <v>600000</v>
      </c>
    </row>
    <row r="91" spans="1:8" s="21" customFormat="1" ht="15.75" x14ac:dyDescent="0.25">
      <c r="A91" s="14"/>
      <c r="B91" s="2" t="s">
        <v>19</v>
      </c>
      <c r="C91" s="18"/>
      <c r="D91" s="18"/>
      <c r="E91" s="18"/>
      <c r="F91" s="18"/>
      <c r="G91" s="18"/>
      <c r="H91" s="22">
        <f t="shared" si="3"/>
        <v>0</v>
      </c>
    </row>
    <row r="92" spans="1:8" s="21" customFormat="1" ht="15.75" x14ac:dyDescent="0.25">
      <c r="A92" s="14"/>
      <c r="B92" s="2" t="s">
        <v>37</v>
      </c>
      <c r="C92" s="18"/>
      <c r="D92" s="18">
        <v>5000000</v>
      </c>
      <c r="E92" s="18"/>
      <c r="F92" s="18"/>
      <c r="G92" s="18"/>
      <c r="H92" s="22">
        <f t="shared" si="3"/>
        <v>5000000</v>
      </c>
    </row>
    <row r="93" spans="1:8" s="21" customFormat="1" ht="15.75" x14ac:dyDescent="0.25">
      <c r="A93" s="14"/>
      <c r="B93" s="2" t="s">
        <v>22</v>
      </c>
      <c r="C93" s="18"/>
      <c r="D93" s="18">
        <v>250000</v>
      </c>
      <c r="E93" s="18"/>
      <c r="F93" s="18"/>
      <c r="G93" s="18"/>
      <c r="H93" s="22">
        <f t="shared" si="3"/>
        <v>250000</v>
      </c>
    </row>
    <row r="94" spans="1:8" s="21" customFormat="1" ht="15.75" x14ac:dyDescent="0.25">
      <c r="A94" s="14"/>
      <c r="B94" s="2" t="s">
        <v>61</v>
      </c>
      <c r="C94" s="18"/>
      <c r="D94" s="18"/>
      <c r="E94" s="18"/>
      <c r="F94" s="18"/>
      <c r="G94" s="18"/>
      <c r="H94" s="22">
        <f t="shared" si="3"/>
        <v>0</v>
      </c>
    </row>
    <row r="95" spans="1:8" s="21" customFormat="1" ht="15.75" x14ac:dyDescent="0.25">
      <c r="A95" s="14"/>
      <c r="B95" s="2" t="s">
        <v>108</v>
      </c>
      <c r="C95" s="18"/>
      <c r="D95" s="18">
        <v>5000000</v>
      </c>
      <c r="E95" s="18"/>
      <c r="F95" s="18"/>
      <c r="G95" s="18"/>
      <c r="H95" s="22">
        <f t="shared" si="3"/>
        <v>5000000</v>
      </c>
    </row>
    <row r="96" spans="1:8" s="21" customFormat="1" ht="15.75" x14ac:dyDescent="0.25">
      <c r="A96" s="14"/>
      <c r="B96" s="2" t="s">
        <v>38</v>
      </c>
      <c r="C96" s="18"/>
      <c r="D96" s="18">
        <v>5000000</v>
      </c>
      <c r="E96" s="18"/>
      <c r="F96" s="18"/>
      <c r="G96" s="18"/>
      <c r="H96" s="22">
        <f t="shared" si="3"/>
        <v>5000000</v>
      </c>
    </row>
    <row r="97" spans="1:14" s="21" customFormat="1" ht="15.75" x14ac:dyDescent="0.25">
      <c r="A97" s="14"/>
      <c r="B97" s="2" t="s">
        <v>39</v>
      </c>
      <c r="C97" s="18"/>
      <c r="D97" s="18">
        <v>1000000</v>
      </c>
      <c r="E97" s="18"/>
      <c r="F97" s="18"/>
      <c r="G97" s="18"/>
      <c r="H97" s="22">
        <f t="shared" si="3"/>
        <v>1000000</v>
      </c>
    </row>
    <row r="98" spans="1:14" s="21" customFormat="1" ht="15.75" x14ac:dyDescent="0.25">
      <c r="A98" s="14"/>
      <c r="B98" s="2" t="s">
        <v>107</v>
      </c>
      <c r="C98" s="18"/>
      <c r="D98" s="18"/>
      <c r="E98" s="18"/>
      <c r="F98" s="18"/>
      <c r="G98" s="18"/>
      <c r="H98" s="22">
        <f t="shared" si="3"/>
        <v>0</v>
      </c>
    </row>
    <row r="99" spans="1:14" s="21" customFormat="1" ht="15.75" x14ac:dyDescent="0.25">
      <c r="A99" s="14"/>
      <c r="B99" s="2" t="s">
        <v>4</v>
      </c>
      <c r="C99" s="18"/>
      <c r="D99" s="18">
        <v>1200000</v>
      </c>
      <c r="E99" s="18"/>
      <c r="F99" s="18"/>
      <c r="G99" s="18"/>
      <c r="H99" s="22">
        <f t="shared" si="3"/>
        <v>1200000</v>
      </c>
    </row>
    <row r="100" spans="1:14" s="21" customFormat="1" ht="15.75" x14ac:dyDescent="0.25">
      <c r="A100" s="14"/>
      <c r="B100" s="2" t="s">
        <v>5</v>
      </c>
      <c r="C100" s="18"/>
      <c r="D100" s="18"/>
      <c r="E100" s="18"/>
      <c r="F100" s="18"/>
      <c r="G100" s="18"/>
      <c r="H100" s="22">
        <f t="shared" si="3"/>
        <v>0</v>
      </c>
    </row>
    <row r="101" spans="1:14" s="21" customFormat="1" ht="15.75" x14ac:dyDescent="0.25">
      <c r="A101" s="14"/>
      <c r="B101" s="2" t="s">
        <v>63</v>
      </c>
      <c r="C101" s="18"/>
      <c r="D101" s="18">
        <v>1500000</v>
      </c>
      <c r="E101" s="18"/>
      <c r="F101" s="18"/>
      <c r="G101" s="18"/>
      <c r="H101" s="22">
        <f t="shared" si="3"/>
        <v>1500000</v>
      </c>
    </row>
    <row r="102" spans="1:14" s="21" customFormat="1" ht="15.75" x14ac:dyDescent="0.25">
      <c r="A102" s="14"/>
      <c r="B102" s="2" t="s">
        <v>23</v>
      </c>
      <c r="C102" s="18"/>
      <c r="D102" s="18"/>
      <c r="E102" s="18"/>
      <c r="F102" s="18"/>
      <c r="G102" s="18"/>
      <c r="H102" s="22">
        <f t="shared" si="3"/>
        <v>0</v>
      </c>
    </row>
    <row r="103" spans="1:14" s="21" customFormat="1" ht="15.75" x14ac:dyDescent="0.25">
      <c r="A103" s="14"/>
      <c r="B103" s="2" t="s">
        <v>24</v>
      </c>
      <c r="C103" s="18"/>
      <c r="D103" s="18">
        <v>2250000</v>
      </c>
      <c r="E103" s="18"/>
      <c r="F103" s="18"/>
      <c r="G103" s="18"/>
      <c r="H103" s="22">
        <f t="shared" si="3"/>
        <v>2250000</v>
      </c>
    </row>
    <row r="104" spans="1:14" s="21" customFormat="1" ht="15.75" x14ac:dyDescent="0.25">
      <c r="A104" s="14"/>
      <c r="B104" s="2" t="s">
        <v>92</v>
      </c>
      <c r="C104" s="18"/>
      <c r="D104" s="18">
        <v>4000000</v>
      </c>
      <c r="E104" s="18"/>
      <c r="F104" s="18"/>
      <c r="G104" s="18"/>
      <c r="H104" s="22">
        <f t="shared" si="3"/>
        <v>4000000</v>
      </c>
    </row>
    <row r="105" spans="1:14" s="21" customFormat="1" ht="15.75" x14ac:dyDescent="0.25">
      <c r="A105" s="14"/>
      <c r="B105" s="2" t="s">
        <v>10</v>
      </c>
      <c r="C105" s="18"/>
      <c r="D105" s="18"/>
      <c r="E105" s="18"/>
      <c r="F105" s="18"/>
      <c r="G105" s="18"/>
      <c r="H105" s="22">
        <f t="shared" si="3"/>
        <v>0</v>
      </c>
    </row>
    <row r="106" spans="1:14" s="21" customFormat="1" ht="15.75" x14ac:dyDescent="0.25">
      <c r="A106" s="14" t="s">
        <v>422</v>
      </c>
      <c r="B106" s="2" t="s">
        <v>99</v>
      </c>
      <c r="C106" s="18">
        <f>450004+49982</f>
        <v>499986</v>
      </c>
      <c r="D106" s="18">
        <v>2500000</v>
      </c>
      <c r="E106" s="18">
        <v>500000</v>
      </c>
      <c r="F106" s="18">
        <v>500000</v>
      </c>
      <c r="G106" s="18">
        <v>500000</v>
      </c>
      <c r="H106" s="22">
        <f t="shared" si="3"/>
        <v>4499986</v>
      </c>
    </row>
    <row r="107" spans="1:14" s="9" customFormat="1" ht="15.75" x14ac:dyDescent="0.25">
      <c r="A107" s="43"/>
      <c r="B107" s="43" t="s">
        <v>128</v>
      </c>
      <c r="C107" s="44">
        <f t="shared" ref="C107:H107" si="4">SUM(C71:C106)</f>
        <v>499986</v>
      </c>
      <c r="D107" s="44">
        <f t="shared" si="4"/>
        <v>47200000</v>
      </c>
      <c r="E107" s="44">
        <f t="shared" si="4"/>
        <v>500000</v>
      </c>
      <c r="F107" s="44">
        <f t="shared" si="4"/>
        <v>750000</v>
      </c>
      <c r="G107" s="44">
        <f t="shared" si="4"/>
        <v>500000</v>
      </c>
      <c r="H107" s="44">
        <f t="shared" si="4"/>
        <v>49449986</v>
      </c>
      <c r="I107" s="21" t="s">
        <v>329</v>
      </c>
      <c r="K107" s="21"/>
      <c r="L107" s="21"/>
      <c r="M107" s="21"/>
      <c r="N107" s="21"/>
    </row>
    <row r="108" spans="1:14" s="9" customFormat="1" ht="15.75" x14ac:dyDescent="0.25">
      <c r="A108" s="14"/>
      <c r="B108" s="5"/>
      <c r="C108" s="10"/>
      <c r="D108" s="10"/>
      <c r="E108" s="10"/>
      <c r="F108" s="10"/>
      <c r="G108" s="10"/>
      <c r="H108" s="4"/>
    </row>
    <row r="109" spans="1:14" s="9" customFormat="1" ht="15.75" x14ac:dyDescent="0.25">
      <c r="A109" s="14"/>
      <c r="B109" s="12" t="s">
        <v>3</v>
      </c>
      <c r="C109" s="10"/>
      <c r="D109" s="10"/>
      <c r="E109" s="10"/>
      <c r="F109" s="10"/>
      <c r="G109" s="10"/>
      <c r="H109" s="4"/>
    </row>
    <row r="110" spans="1:14" s="9" customFormat="1" ht="15.75" x14ac:dyDescent="0.25">
      <c r="A110" s="14"/>
      <c r="B110" s="2" t="s">
        <v>104</v>
      </c>
      <c r="C110" s="10"/>
      <c r="D110" s="10"/>
      <c r="E110" s="10"/>
      <c r="F110" s="10"/>
      <c r="G110" s="10"/>
      <c r="H110" s="22">
        <f t="shared" ref="H110:H168" si="5">SUM(C110:G110)</f>
        <v>0</v>
      </c>
    </row>
    <row r="111" spans="1:14" s="9" customFormat="1" ht="15.75" x14ac:dyDescent="0.25">
      <c r="A111" s="14"/>
      <c r="B111" s="5" t="s">
        <v>54</v>
      </c>
      <c r="C111" s="10"/>
      <c r="D111" s="10"/>
      <c r="E111" s="10">
        <v>2500000</v>
      </c>
      <c r="F111" s="10"/>
      <c r="G111" s="10"/>
      <c r="H111" s="22">
        <f t="shared" si="5"/>
        <v>2500000</v>
      </c>
    </row>
    <row r="112" spans="1:14" s="9" customFormat="1" ht="15.75" x14ac:dyDescent="0.25">
      <c r="A112" s="14" t="s">
        <v>500</v>
      </c>
      <c r="B112" s="5" t="s">
        <v>96</v>
      </c>
      <c r="C112" s="10">
        <f>270000+30000</f>
        <v>300000</v>
      </c>
      <c r="D112" s="10"/>
      <c r="E112" s="10"/>
      <c r="F112" s="10"/>
      <c r="G112" s="10"/>
      <c r="H112" s="22">
        <f t="shared" si="5"/>
        <v>300000</v>
      </c>
    </row>
    <row r="113" spans="1:8" s="9" customFormat="1" ht="15.75" x14ac:dyDescent="0.25">
      <c r="A113" s="14"/>
      <c r="B113" s="2" t="s">
        <v>40</v>
      </c>
      <c r="C113" s="18"/>
      <c r="D113" s="18"/>
      <c r="E113" s="18">
        <v>250000</v>
      </c>
      <c r="F113" s="18"/>
      <c r="G113" s="18"/>
      <c r="H113" s="22">
        <f t="shared" si="5"/>
        <v>250000</v>
      </c>
    </row>
    <row r="114" spans="1:8" s="9" customFormat="1" ht="15.75" x14ac:dyDescent="0.25">
      <c r="A114" s="14"/>
      <c r="B114" s="2" t="s">
        <v>64</v>
      </c>
      <c r="C114" s="18"/>
      <c r="D114" s="18"/>
      <c r="E114" s="18"/>
      <c r="F114" s="18"/>
      <c r="G114" s="18"/>
      <c r="H114" s="22">
        <f t="shared" si="5"/>
        <v>0</v>
      </c>
    </row>
    <row r="115" spans="1:8" s="9" customFormat="1" ht="15.75" x14ac:dyDescent="0.25">
      <c r="A115" s="14"/>
      <c r="B115" s="2" t="s">
        <v>109</v>
      </c>
      <c r="C115" s="18"/>
      <c r="D115" s="18"/>
      <c r="E115" s="18">
        <v>1000000</v>
      </c>
      <c r="F115" s="18"/>
      <c r="G115" s="18"/>
      <c r="H115" s="22">
        <f t="shared" si="5"/>
        <v>1000000</v>
      </c>
    </row>
    <row r="116" spans="1:8" s="9" customFormat="1" ht="15.75" x14ac:dyDescent="0.25">
      <c r="A116" s="14"/>
      <c r="B116" s="2" t="s">
        <v>65</v>
      </c>
      <c r="C116" s="18"/>
      <c r="D116" s="18"/>
      <c r="E116" s="18">
        <v>1200000</v>
      </c>
      <c r="F116" s="18"/>
      <c r="G116" s="18"/>
      <c r="H116" s="22">
        <f t="shared" si="5"/>
        <v>1200000</v>
      </c>
    </row>
    <row r="117" spans="1:8" s="9" customFormat="1" ht="15.75" x14ac:dyDescent="0.25">
      <c r="A117" s="14"/>
      <c r="B117" s="2" t="s">
        <v>13</v>
      </c>
      <c r="C117" s="18"/>
      <c r="D117" s="18"/>
      <c r="E117" s="18">
        <v>250000</v>
      </c>
      <c r="F117" s="18"/>
      <c r="G117" s="18">
        <v>250000</v>
      </c>
      <c r="H117" s="22">
        <f t="shared" si="5"/>
        <v>500000</v>
      </c>
    </row>
    <row r="118" spans="1:8" s="9" customFormat="1" ht="15.75" x14ac:dyDescent="0.25">
      <c r="A118" s="14"/>
      <c r="B118" s="2" t="s">
        <v>26</v>
      </c>
      <c r="C118" s="18"/>
      <c r="D118" s="18"/>
      <c r="E118" s="18">
        <v>225000</v>
      </c>
      <c r="F118" s="18"/>
      <c r="G118" s="18"/>
      <c r="H118" s="22">
        <f t="shared" si="5"/>
        <v>225000</v>
      </c>
    </row>
    <row r="119" spans="1:8" s="9" customFormat="1" ht="15.75" x14ac:dyDescent="0.25">
      <c r="A119" s="14"/>
      <c r="B119" s="2" t="s">
        <v>28</v>
      </c>
      <c r="C119" s="18"/>
      <c r="D119" s="18"/>
      <c r="E119" s="18">
        <v>4000000</v>
      </c>
      <c r="F119" s="18"/>
      <c r="G119" s="18"/>
      <c r="H119" s="22">
        <f t="shared" si="5"/>
        <v>4000000</v>
      </c>
    </row>
    <row r="120" spans="1:8" s="9" customFormat="1" ht="15.75" x14ac:dyDescent="0.25">
      <c r="A120" s="14"/>
      <c r="B120" s="2" t="s">
        <v>16</v>
      </c>
      <c r="C120" s="18"/>
      <c r="D120" s="18"/>
      <c r="E120" s="18">
        <v>4000000</v>
      </c>
      <c r="F120" s="18"/>
      <c r="G120" s="18"/>
      <c r="H120" s="22">
        <f t="shared" si="5"/>
        <v>4000000</v>
      </c>
    </row>
    <row r="121" spans="1:8" s="9" customFormat="1" ht="15.75" x14ac:dyDescent="0.25">
      <c r="A121" s="14"/>
      <c r="B121" s="2" t="s">
        <v>34</v>
      </c>
      <c r="C121" s="18"/>
      <c r="D121" s="18"/>
      <c r="E121" s="18">
        <v>1500000</v>
      </c>
      <c r="F121" s="18"/>
      <c r="G121" s="18"/>
      <c r="H121" s="22">
        <f t="shared" si="5"/>
        <v>1500000</v>
      </c>
    </row>
    <row r="122" spans="1:8" s="9" customFormat="1" ht="15.75" x14ac:dyDescent="0.25">
      <c r="A122" s="14"/>
      <c r="B122" s="2" t="s">
        <v>35</v>
      </c>
      <c r="C122" s="18"/>
      <c r="D122" s="18"/>
      <c r="E122" s="18">
        <v>1500000</v>
      </c>
      <c r="F122" s="18"/>
      <c r="G122" s="18"/>
      <c r="H122" s="22">
        <f t="shared" si="5"/>
        <v>1500000</v>
      </c>
    </row>
    <row r="123" spans="1:8" s="9" customFormat="1" ht="15.75" x14ac:dyDescent="0.25">
      <c r="A123" s="14"/>
      <c r="B123" s="2" t="s">
        <v>41</v>
      </c>
      <c r="C123" s="18"/>
      <c r="D123" s="18"/>
      <c r="E123" s="18"/>
      <c r="F123" s="18"/>
      <c r="G123" s="18"/>
      <c r="H123" s="22">
        <f t="shared" si="5"/>
        <v>0</v>
      </c>
    </row>
    <row r="124" spans="1:8" s="9" customFormat="1" ht="15.75" x14ac:dyDescent="0.25">
      <c r="A124" s="14"/>
      <c r="B124" s="2" t="s">
        <v>116</v>
      </c>
      <c r="C124" s="18"/>
      <c r="D124" s="18"/>
      <c r="E124" s="18">
        <v>550000</v>
      </c>
      <c r="F124" s="18"/>
      <c r="G124" s="18"/>
      <c r="H124" s="22">
        <f t="shared" si="5"/>
        <v>550000</v>
      </c>
    </row>
    <row r="125" spans="1:8" s="9" customFormat="1" ht="15.75" x14ac:dyDescent="0.25">
      <c r="A125" s="14"/>
      <c r="B125" s="2" t="s">
        <v>110</v>
      </c>
      <c r="C125" s="18"/>
      <c r="D125" s="18"/>
      <c r="E125" s="18">
        <v>1000000</v>
      </c>
      <c r="F125" s="18"/>
      <c r="G125" s="18"/>
      <c r="H125" s="22">
        <f t="shared" si="5"/>
        <v>1000000</v>
      </c>
    </row>
    <row r="126" spans="1:8" s="9" customFormat="1" ht="15.75" x14ac:dyDescent="0.25">
      <c r="A126" s="14"/>
      <c r="B126" s="2" t="s">
        <v>42</v>
      </c>
      <c r="C126" s="18"/>
      <c r="D126" s="18"/>
      <c r="E126" s="18">
        <v>4000000</v>
      </c>
      <c r="F126" s="18"/>
      <c r="G126" s="18"/>
      <c r="H126" s="22">
        <f t="shared" si="5"/>
        <v>4000000</v>
      </c>
    </row>
    <row r="127" spans="1:8" s="9" customFormat="1" ht="15.75" x14ac:dyDescent="0.25">
      <c r="A127" s="14"/>
      <c r="B127" s="2" t="s">
        <v>43</v>
      </c>
      <c r="C127" s="18"/>
      <c r="D127" s="18"/>
      <c r="E127" s="18"/>
      <c r="F127" s="18"/>
      <c r="G127" s="18"/>
      <c r="H127" s="22">
        <f t="shared" si="5"/>
        <v>0</v>
      </c>
    </row>
    <row r="128" spans="1:8" s="9" customFormat="1" ht="15.75" x14ac:dyDescent="0.25">
      <c r="A128" s="14"/>
      <c r="B128" s="2" t="s">
        <v>44</v>
      </c>
      <c r="C128" s="18"/>
      <c r="D128" s="18"/>
      <c r="E128" s="18">
        <v>3000000</v>
      </c>
      <c r="F128" s="18"/>
      <c r="G128" s="18"/>
      <c r="H128" s="22">
        <f t="shared" si="5"/>
        <v>3000000</v>
      </c>
    </row>
    <row r="129" spans="1:14" s="9" customFormat="1" ht="15.75" x14ac:dyDescent="0.25">
      <c r="A129" s="14"/>
      <c r="B129" s="2" t="s">
        <v>18</v>
      </c>
      <c r="C129" s="18"/>
      <c r="D129" s="18"/>
      <c r="E129" s="18"/>
      <c r="F129" s="18"/>
      <c r="G129" s="18"/>
      <c r="H129" s="22">
        <f t="shared" si="5"/>
        <v>0</v>
      </c>
    </row>
    <row r="130" spans="1:14" s="9" customFormat="1" ht="15.75" x14ac:dyDescent="0.25">
      <c r="A130" s="14"/>
      <c r="B130" s="2" t="s">
        <v>37</v>
      </c>
      <c r="C130" s="18"/>
      <c r="D130" s="18"/>
      <c r="E130" s="18">
        <v>6000000</v>
      </c>
      <c r="F130" s="18"/>
      <c r="G130" s="18"/>
      <c r="H130" s="22">
        <f t="shared" si="5"/>
        <v>6000000</v>
      </c>
    </row>
    <row r="131" spans="1:14" s="9" customFormat="1" ht="15.75" x14ac:dyDescent="0.25">
      <c r="A131" s="14"/>
      <c r="B131" s="2" t="s">
        <v>61</v>
      </c>
      <c r="C131" s="18"/>
      <c r="D131" s="18"/>
      <c r="E131" s="18">
        <v>1000000</v>
      </c>
      <c r="F131" s="18"/>
      <c r="G131" s="18"/>
      <c r="H131" s="22">
        <f t="shared" si="5"/>
        <v>1000000</v>
      </c>
    </row>
    <row r="132" spans="1:14" s="9" customFormat="1" ht="15.75" x14ac:dyDescent="0.25">
      <c r="A132" s="14"/>
      <c r="B132" s="2" t="s">
        <v>66</v>
      </c>
      <c r="C132" s="18"/>
      <c r="D132" s="18"/>
      <c r="E132" s="18">
        <v>3000000</v>
      </c>
      <c r="F132" s="18"/>
      <c r="G132" s="18"/>
      <c r="H132" s="22">
        <f t="shared" si="5"/>
        <v>3000000</v>
      </c>
    </row>
    <row r="133" spans="1:14" s="9" customFormat="1" ht="15.75" x14ac:dyDescent="0.25">
      <c r="A133" s="14"/>
      <c r="B133" s="2" t="s">
        <v>113</v>
      </c>
      <c r="C133" s="18"/>
      <c r="D133" s="18"/>
      <c r="E133" s="18"/>
      <c r="F133" s="18"/>
      <c r="G133" s="18"/>
      <c r="H133" s="22">
        <f t="shared" si="5"/>
        <v>0</v>
      </c>
    </row>
    <row r="134" spans="1:14" s="9" customFormat="1" ht="15.75" x14ac:dyDescent="0.25">
      <c r="A134" s="14"/>
      <c r="B134" s="2" t="s">
        <v>39</v>
      </c>
      <c r="C134" s="18"/>
      <c r="D134" s="18"/>
      <c r="E134" s="18">
        <v>2000000</v>
      </c>
      <c r="F134" s="18"/>
      <c r="G134" s="18"/>
      <c r="H134" s="22">
        <f t="shared" si="5"/>
        <v>2000000</v>
      </c>
    </row>
    <row r="135" spans="1:14" s="9" customFormat="1" ht="15.75" x14ac:dyDescent="0.25">
      <c r="A135" s="14" t="s">
        <v>498</v>
      </c>
      <c r="B135" s="5" t="s">
        <v>73</v>
      </c>
      <c r="C135" s="10">
        <f>375000+74999</f>
        <v>449999</v>
      </c>
      <c r="D135" s="10">
        <v>500000</v>
      </c>
      <c r="E135" s="10">
        <v>750000</v>
      </c>
      <c r="F135" s="10">
        <v>500000</v>
      </c>
      <c r="G135" s="10">
        <v>750000</v>
      </c>
      <c r="H135" s="22">
        <f t="shared" si="5"/>
        <v>2949999</v>
      </c>
    </row>
    <row r="136" spans="1:14" s="9" customFormat="1" ht="15.75" x14ac:dyDescent="0.25">
      <c r="A136" s="14"/>
      <c r="B136" s="2" t="s">
        <v>45</v>
      </c>
      <c r="C136" s="18"/>
      <c r="D136" s="18"/>
      <c r="E136" s="18">
        <v>250000</v>
      </c>
      <c r="F136" s="18"/>
      <c r="G136" s="18"/>
      <c r="H136" s="22">
        <f t="shared" si="5"/>
        <v>250000</v>
      </c>
    </row>
    <row r="137" spans="1:14" s="9" customFormat="1" ht="15.75" x14ac:dyDescent="0.25">
      <c r="A137" s="14"/>
      <c r="B137" s="2" t="s">
        <v>68</v>
      </c>
      <c r="C137" s="18"/>
      <c r="D137" s="18"/>
      <c r="E137" s="18"/>
      <c r="F137" s="18"/>
      <c r="G137" s="18"/>
      <c r="H137" s="22">
        <f t="shared" si="5"/>
        <v>0</v>
      </c>
    </row>
    <row r="138" spans="1:14" s="9" customFormat="1" ht="15.75" x14ac:dyDescent="0.25">
      <c r="A138" s="14"/>
      <c r="B138" s="2" t="s">
        <v>67</v>
      </c>
      <c r="C138" s="18"/>
      <c r="D138" s="18"/>
      <c r="E138" s="18">
        <v>6500000</v>
      </c>
      <c r="F138" s="18"/>
      <c r="G138" s="18"/>
      <c r="H138" s="22">
        <f t="shared" si="5"/>
        <v>6500000</v>
      </c>
    </row>
    <row r="139" spans="1:14" s="9" customFormat="1" ht="15.75" x14ac:dyDescent="0.25">
      <c r="A139" s="14"/>
      <c r="B139" s="2" t="s">
        <v>24</v>
      </c>
      <c r="C139" s="18"/>
      <c r="D139" s="18"/>
      <c r="E139" s="18">
        <v>2000000</v>
      </c>
      <c r="F139" s="18"/>
      <c r="G139" s="18"/>
      <c r="H139" s="22">
        <f t="shared" si="5"/>
        <v>2000000</v>
      </c>
    </row>
    <row r="140" spans="1:14" s="9" customFormat="1" ht="15.75" x14ac:dyDescent="0.25">
      <c r="A140" s="14" t="s">
        <v>497</v>
      </c>
      <c r="B140" s="2" t="s">
        <v>99</v>
      </c>
      <c r="C140" s="18">
        <f>450004+49982</f>
        <v>499986</v>
      </c>
      <c r="D140" s="18">
        <v>500000</v>
      </c>
      <c r="E140" s="18">
        <v>2500000</v>
      </c>
      <c r="F140" s="18">
        <v>500000</v>
      </c>
      <c r="G140" s="18">
        <v>500000</v>
      </c>
      <c r="H140" s="22">
        <f t="shared" si="5"/>
        <v>4499986</v>
      </c>
    </row>
    <row r="141" spans="1:14" s="9" customFormat="1" ht="15.75" x14ac:dyDescent="0.25">
      <c r="A141" s="43"/>
      <c r="B141" s="43" t="s">
        <v>129</v>
      </c>
      <c r="C141" s="44">
        <f t="shared" ref="C141:H141" si="6">SUM(C110:C140)</f>
        <v>1249985</v>
      </c>
      <c r="D141" s="44">
        <f t="shared" si="6"/>
        <v>1000000</v>
      </c>
      <c r="E141" s="44">
        <f t="shared" si="6"/>
        <v>48975000</v>
      </c>
      <c r="F141" s="44">
        <f t="shared" si="6"/>
        <v>1000000</v>
      </c>
      <c r="G141" s="44">
        <f t="shared" si="6"/>
        <v>1500000</v>
      </c>
      <c r="H141" s="44">
        <f t="shared" si="6"/>
        <v>53724985</v>
      </c>
      <c r="I141" s="21" t="s">
        <v>329</v>
      </c>
      <c r="K141" s="21"/>
      <c r="L141" s="21"/>
      <c r="M141" s="21"/>
      <c r="N141" s="21"/>
    </row>
    <row r="142" spans="1:14" s="9" customFormat="1" ht="15.75" x14ac:dyDescent="0.25">
      <c r="A142" s="14"/>
      <c r="B142" s="5"/>
      <c r="C142" s="10"/>
      <c r="D142" s="10"/>
      <c r="E142" s="10"/>
      <c r="F142" s="10"/>
      <c r="G142" s="10"/>
      <c r="H142" s="4"/>
    </row>
    <row r="143" spans="1:14" s="9" customFormat="1" ht="15.75" x14ac:dyDescent="0.25">
      <c r="A143" s="14"/>
      <c r="B143" s="12" t="s">
        <v>122</v>
      </c>
      <c r="C143" s="10"/>
      <c r="D143" s="10"/>
      <c r="E143" s="10"/>
      <c r="F143" s="10"/>
      <c r="G143" s="10"/>
      <c r="H143" s="4"/>
    </row>
    <row r="144" spans="1:14" s="9" customFormat="1" ht="15.75" x14ac:dyDescent="0.25">
      <c r="A144" s="14" t="s">
        <v>423</v>
      </c>
      <c r="B144" s="2" t="s">
        <v>99</v>
      </c>
      <c r="C144" s="18">
        <f>1350005+149998</f>
        <v>1500003</v>
      </c>
      <c r="D144" s="18">
        <v>1500000</v>
      </c>
      <c r="E144" s="18">
        <v>1500000</v>
      </c>
      <c r="F144" s="18">
        <v>1500000</v>
      </c>
      <c r="G144" s="18">
        <v>1500000</v>
      </c>
      <c r="H144" s="22">
        <f t="shared" si="5"/>
        <v>7500003</v>
      </c>
    </row>
    <row r="145" spans="1:14" s="9" customFormat="1" ht="15.75" x14ac:dyDescent="0.25">
      <c r="A145" s="43"/>
      <c r="B145" s="43" t="s">
        <v>130</v>
      </c>
      <c r="C145" s="44">
        <f t="shared" ref="C145:H145" si="7">SUM(C144:C144)</f>
        <v>1500003</v>
      </c>
      <c r="D145" s="44">
        <f t="shared" si="7"/>
        <v>1500000</v>
      </c>
      <c r="E145" s="44">
        <f t="shared" si="7"/>
        <v>1500000</v>
      </c>
      <c r="F145" s="44">
        <f t="shared" si="7"/>
        <v>1500000</v>
      </c>
      <c r="G145" s="44">
        <f t="shared" si="7"/>
        <v>1500000</v>
      </c>
      <c r="H145" s="44">
        <f t="shared" si="7"/>
        <v>7500003</v>
      </c>
      <c r="I145" s="21" t="s">
        <v>329</v>
      </c>
      <c r="K145" s="21"/>
      <c r="L145" s="21"/>
      <c r="M145" s="21"/>
      <c r="N145" s="21"/>
    </row>
    <row r="146" spans="1:14" s="9" customFormat="1" ht="15.75" x14ac:dyDescent="0.25">
      <c r="A146" s="14"/>
      <c r="B146" s="5"/>
      <c r="C146" s="10"/>
      <c r="D146" s="10"/>
      <c r="E146" s="10"/>
      <c r="F146" s="10"/>
      <c r="G146" s="10"/>
      <c r="H146" s="4"/>
    </row>
    <row r="147" spans="1:14" s="9" customFormat="1" ht="15.75" x14ac:dyDescent="0.25">
      <c r="A147" s="14"/>
      <c r="B147" s="12" t="s">
        <v>123</v>
      </c>
      <c r="C147" s="10"/>
      <c r="D147" s="10"/>
      <c r="E147" s="10"/>
      <c r="F147" s="10"/>
      <c r="G147" s="10"/>
      <c r="H147" s="4"/>
    </row>
    <row r="148" spans="1:14" s="9" customFormat="1" ht="15.75" x14ac:dyDescent="0.25">
      <c r="A148" s="14" t="s">
        <v>499</v>
      </c>
      <c r="B148" s="2" t="s">
        <v>121</v>
      </c>
      <c r="C148" s="18">
        <v>250760</v>
      </c>
      <c r="D148" s="18"/>
      <c r="E148" s="18"/>
      <c r="F148" s="18"/>
      <c r="G148" s="18"/>
      <c r="H148" s="22">
        <f t="shared" si="5"/>
        <v>250760</v>
      </c>
    </row>
    <row r="149" spans="1:14" s="9" customFormat="1" ht="15.75" x14ac:dyDescent="0.25">
      <c r="A149" s="14"/>
      <c r="B149" s="2" t="s">
        <v>48</v>
      </c>
      <c r="C149" s="18"/>
      <c r="D149" s="18">
        <v>1000000</v>
      </c>
      <c r="E149" s="18">
        <v>1000000</v>
      </c>
      <c r="F149" s="18">
        <v>1000000</v>
      </c>
      <c r="G149" s="18">
        <v>1000000</v>
      </c>
      <c r="H149" s="22">
        <f t="shared" si="5"/>
        <v>4000000</v>
      </c>
    </row>
    <row r="150" spans="1:14" s="9" customFormat="1" ht="15.75" x14ac:dyDescent="0.25">
      <c r="A150" s="14" t="s">
        <v>501</v>
      </c>
      <c r="B150" s="2" t="s">
        <v>101</v>
      </c>
      <c r="C150" s="18">
        <f>1350912+149994</f>
        <v>1500906</v>
      </c>
      <c r="D150" s="18"/>
      <c r="E150" s="18"/>
      <c r="F150" s="18"/>
      <c r="G150" s="18"/>
      <c r="H150" s="22">
        <f t="shared" si="5"/>
        <v>1500906</v>
      </c>
    </row>
    <row r="151" spans="1:14" s="9" customFormat="1" ht="15.75" x14ac:dyDescent="0.25">
      <c r="A151" s="14" t="s">
        <v>504</v>
      </c>
      <c r="B151" s="2" t="s">
        <v>46</v>
      </c>
      <c r="C151" s="18">
        <v>500000</v>
      </c>
      <c r="D151" s="18"/>
      <c r="E151" s="18"/>
      <c r="F151" s="18"/>
      <c r="G151" s="18"/>
      <c r="H151" s="22">
        <f t="shared" si="5"/>
        <v>500000</v>
      </c>
    </row>
    <row r="152" spans="1:14" s="9" customFormat="1" ht="15.75" x14ac:dyDescent="0.25">
      <c r="A152" s="14"/>
      <c r="B152" s="2" t="s">
        <v>111</v>
      </c>
      <c r="C152" s="18"/>
      <c r="D152" s="18">
        <v>200000</v>
      </c>
      <c r="E152" s="18"/>
      <c r="F152" s="18"/>
      <c r="G152" s="18"/>
      <c r="H152" s="22">
        <f t="shared" si="5"/>
        <v>200000</v>
      </c>
    </row>
    <row r="153" spans="1:14" s="9" customFormat="1" ht="15.75" x14ac:dyDescent="0.25">
      <c r="A153" s="14"/>
      <c r="B153" s="2" t="s">
        <v>47</v>
      </c>
      <c r="C153" s="18"/>
      <c r="D153" s="18"/>
      <c r="E153" s="18"/>
      <c r="F153" s="18">
        <v>1000000</v>
      </c>
      <c r="G153" s="18"/>
      <c r="H153" s="22">
        <f t="shared" si="5"/>
        <v>1000000</v>
      </c>
    </row>
    <row r="154" spans="1:14" s="9" customFormat="1" ht="15.75" x14ac:dyDescent="0.25">
      <c r="A154" s="14" t="s">
        <v>505</v>
      </c>
      <c r="B154" s="2" t="s">
        <v>100</v>
      </c>
      <c r="C154" s="18">
        <v>300000</v>
      </c>
      <c r="D154" s="18"/>
      <c r="E154" s="18"/>
      <c r="F154" s="18"/>
      <c r="G154" s="18"/>
      <c r="H154" s="22">
        <f t="shared" si="5"/>
        <v>300000</v>
      </c>
    </row>
    <row r="155" spans="1:14" s="9" customFormat="1" ht="15.75" x14ac:dyDescent="0.25">
      <c r="A155" s="14" t="s">
        <v>506</v>
      </c>
      <c r="B155" s="2" t="s">
        <v>103</v>
      </c>
      <c r="C155" s="18">
        <v>200000</v>
      </c>
      <c r="D155" s="18"/>
      <c r="E155" s="18"/>
      <c r="F155" s="18"/>
      <c r="G155" s="18"/>
      <c r="H155" s="22">
        <f t="shared" si="5"/>
        <v>200000</v>
      </c>
    </row>
    <row r="156" spans="1:14" s="9" customFormat="1" ht="15.75" x14ac:dyDescent="0.25">
      <c r="A156" s="14"/>
      <c r="B156" s="2" t="s">
        <v>49</v>
      </c>
      <c r="C156" s="18"/>
      <c r="D156" s="18">
        <v>250000</v>
      </c>
      <c r="E156" s="18">
        <v>250000</v>
      </c>
      <c r="F156" s="18">
        <v>250000</v>
      </c>
      <c r="G156" s="18">
        <v>250000</v>
      </c>
      <c r="H156" s="22">
        <f t="shared" si="5"/>
        <v>1000000</v>
      </c>
    </row>
    <row r="157" spans="1:14" s="9" customFormat="1" ht="15.75" x14ac:dyDescent="0.25">
      <c r="A157" s="14" t="s">
        <v>481</v>
      </c>
      <c r="B157" s="2" t="s">
        <v>124</v>
      </c>
      <c r="C157" s="18">
        <f>225000+25037</f>
        <v>250037</v>
      </c>
      <c r="D157" s="18"/>
      <c r="E157" s="18"/>
      <c r="F157" s="18"/>
      <c r="G157" s="18"/>
      <c r="H157" s="22">
        <f t="shared" si="5"/>
        <v>250037</v>
      </c>
    </row>
    <row r="158" spans="1:14" s="9" customFormat="1" ht="15.75" x14ac:dyDescent="0.25">
      <c r="A158" s="14"/>
      <c r="B158" s="2" t="s">
        <v>50</v>
      </c>
      <c r="C158" s="18"/>
      <c r="D158" s="18"/>
      <c r="E158" s="18"/>
      <c r="F158" s="18">
        <v>5000000</v>
      </c>
      <c r="G158" s="18"/>
      <c r="H158" s="22">
        <f t="shared" si="5"/>
        <v>5000000</v>
      </c>
    </row>
    <row r="159" spans="1:14" s="9" customFormat="1" ht="15.75" x14ac:dyDescent="0.25">
      <c r="A159" s="14"/>
      <c r="B159" s="2" t="s">
        <v>114</v>
      </c>
      <c r="C159" s="18"/>
      <c r="D159" s="18">
        <v>150000</v>
      </c>
      <c r="E159" s="18"/>
      <c r="F159" s="18"/>
      <c r="G159" s="18"/>
      <c r="H159" s="22">
        <f t="shared" si="5"/>
        <v>150000</v>
      </c>
    </row>
    <row r="160" spans="1:14" s="9" customFormat="1" ht="15.75" x14ac:dyDescent="0.25">
      <c r="A160" s="14"/>
      <c r="B160" s="2" t="s">
        <v>112</v>
      </c>
      <c r="C160" s="18"/>
      <c r="D160" s="18">
        <v>200000</v>
      </c>
      <c r="E160" s="18"/>
      <c r="F160" s="18"/>
      <c r="G160" s="18"/>
      <c r="H160" s="22">
        <f t="shared" si="5"/>
        <v>200000</v>
      </c>
    </row>
    <row r="161" spans="1:14" s="9" customFormat="1" ht="15.75" x14ac:dyDescent="0.25">
      <c r="A161" s="14"/>
      <c r="B161" s="2" t="s">
        <v>115</v>
      </c>
      <c r="C161" s="18"/>
      <c r="D161" s="18"/>
      <c r="E161" s="18">
        <v>125000</v>
      </c>
      <c r="F161" s="18"/>
      <c r="G161" s="18"/>
      <c r="H161" s="22">
        <f t="shared" si="5"/>
        <v>125000</v>
      </c>
    </row>
    <row r="162" spans="1:14" s="9" customFormat="1" ht="15.75" x14ac:dyDescent="0.25">
      <c r="A162" s="14" t="s">
        <v>507</v>
      </c>
      <c r="B162" s="2" t="s">
        <v>51</v>
      </c>
      <c r="C162" s="18">
        <f>1287250+212750</f>
        <v>1500000</v>
      </c>
      <c r="D162" s="18"/>
      <c r="E162" s="18"/>
      <c r="F162" s="18"/>
      <c r="G162" s="18"/>
      <c r="H162" s="22">
        <f t="shared" si="5"/>
        <v>1500000</v>
      </c>
    </row>
    <row r="163" spans="1:14" s="9" customFormat="1" ht="15.75" x14ac:dyDescent="0.25">
      <c r="A163" s="14" t="s">
        <v>502</v>
      </c>
      <c r="B163" s="2" t="s">
        <v>80</v>
      </c>
      <c r="C163" s="18">
        <f>162000+18000</f>
        <v>180000</v>
      </c>
      <c r="D163" s="18"/>
      <c r="E163" s="18"/>
      <c r="F163" s="18"/>
      <c r="G163" s="18"/>
      <c r="H163" s="22">
        <f t="shared" si="5"/>
        <v>180000</v>
      </c>
    </row>
    <row r="164" spans="1:14" s="9" customFormat="1" ht="15.75" x14ac:dyDescent="0.25">
      <c r="A164" s="14" t="s">
        <v>508</v>
      </c>
      <c r="B164" s="2" t="s">
        <v>125</v>
      </c>
      <c r="C164" s="18">
        <v>249996</v>
      </c>
      <c r="D164" s="18"/>
      <c r="E164" s="18"/>
      <c r="F164" s="18"/>
      <c r="G164" s="18"/>
      <c r="H164" s="22">
        <f t="shared" si="5"/>
        <v>249996</v>
      </c>
    </row>
    <row r="165" spans="1:14" s="9" customFormat="1" ht="15.75" x14ac:dyDescent="0.25">
      <c r="A165" s="14" t="s">
        <v>503</v>
      </c>
      <c r="B165" s="2" t="s">
        <v>102</v>
      </c>
      <c r="C165" s="18">
        <f>135000+15000</f>
        <v>150000</v>
      </c>
      <c r="D165" s="18"/>
      <c r="E165" s="18"/>
      <c r="F165" s="18"/>
      <c r="G165" s="18"/>
      <c r="H165" s="22">
        <f t="shared" si="5"/>
        <v>150000</v>
      </c>
    </row>
    <row r="166" spans="1:14" s="9" customFormat="1" ht="15.75" x14ac:dyDescent="0.25">
      <c r="A166" s="14" t="s">
        <v>482</v>
      </c>
      <c r="B166" s="2" t="s">
        <v>52</v>
      </c>
      <c r="C166" s="18">
        <f>630000+70000</f>
        <v>700000</v>
      </c>
      <c r="D166" s="18"/>
      <c r="E166" s="18"/>
      <c r="F166" s="18"/>
      <c r="G166" s="18"/>
      <c r="H166" s="22">
        <f t="shared" si="5"/>
        <v>700000</v>
      </c>
    </row>
    <row r="167" spans="1:14" s="9" customFormat="1" ht="15.75" x14ac:dyDescent="0.25">
      <c r="A167" s="14" t="s">
        <v>480</v>
      </c>
      <c r="B167" s="2" t="s">
        <v>106</v>
      </c>
      <c r="C167" s="18">
        <f>900000+100011</f>
        <v>1000011</v>
      </c>
      <c r="D167" s="18">
        <v>1000000</v>
      </c>
      <c r="E167" s="18">
        <v>1000000</v>
      </c>
      <c r="F167" s="18">
        <v>1000000</v>
      </c>
      <c r="G167" s="18">
        <v>1000000</v>
      </c>
      <c r="H167" s="22">
        <f t="shared" si="5"/>
        <v>5000011</v>
      </c>
    </row>
    <row r="168" spans="1:14" s="9" customFormat="1" ht="15.75" x14ac:dyDescent="0.25">
      <c r="A168" s="14" t="s">
        <v>424</v>
      </c>
      <c r="B168" s="2" t="s">
        <v>99</v>
      </c>
      <c r="C168" s="18">
        <f>1429691+149998</f>
        <v>1579689</v>
      </c>
      <c r="D168" s="18">
        <v>2000000</v>
      </c>
      <c r="E168" s="18">
        <v>2000000</v>
      </c>
      <c r="F168" s="18">
        <v>2000000</v>
      </c>
      <c r="G168" s="18">
        <v>2000000</v>
      </c>
      <c r="H168" s="22">
        <f t="shared" si="5"/>
        <v>9579689</v>
      </c>
    </row>
    <row r="169" spans="1:14" s="9" customFormat="1" ht="15.75" x14ac:dyDescent="0.25">
      <c r="A169" s="43"/>
      <c r="B169" s="43" t="s">
        <v>131</v>
      </c>
      <c r="C169" s="44">
        <f t="shared" ref="C169:H169" si="8">SUM(C148:C168)</f>
        <v>8361399</v>
      </c>
      <c r="D169" s="44">
        <f t="shared" si="8"/>
        <v>4800000</v>
      </c>
      <c r="E169" s="44">
        <f t="shared" si="8"/>
        <v>4375000</v>
      </c>
      <c r="F169" s="44">
        <f t="shared" si="8"/>
        <v>10250000</v>
      </c>
      <c r="G169" s="44">
        <f t="shared" si="8"/>
        <v>4250000</v>
      </c>
      <c r="H169" s="44">
        <f t="shared" si="8"/>
        <v>32036399</v>
      </c>
      <c r="I169" s="21" t="s">
        <v>329</v>
      </c>
      <c r="K169" s="21"/>
      <c r="L169" s="21"/>
      <c r="M169" s="21"/>
      <c r="N169" s="21"/>
    </row>
    <row r="170" spans="1:14" s="9" customFormat="1" ht="15.75" x14ac:dyDescent="0.25">
      <c r="A170" s="14"/>
      <c r="B170" s="2"/>
      <c r="C170" s="11"/>
      <c r="D170" s="11"/>
      <c r="E170" s="11"/>
      <c r="F170" s="11"/>
      <c r="G170" s="11"/>
      <c r="H170" s="3"/>
    </row>
    <row r="171" spans="1:14" s="9" customFormat="1" ht="18" x14ac:dyDescent="0.25">
      <c r="A171" s="25"/>
      <c r="B171" s="25" t="s">
        <v>325</v>
      </c>
      <c r="C171" s="26">
        <f>C32+C68+C107+C141+C145+C169</f>
        <v>38694623</v>
      </c>
      <c r="D171" s="26">
        <f t="shared" ref="D171:H171" si="9">D32+D68+D107+D141+D145+D169</f>
        <v>55750000</v>
      </c>
      <c r="E171" s="26">
        <f t="shared" si="9"/>
        <v>56600000</v>
      </c>
      <c r="F171" s="26">
        <f t="shared" si="9"/>
        <v>55141000</v>
      </c>
      <c r="G171" s="26">
        <f t="shared" si="9"/>
        <v>38650000</v>
      </c>
      <c r="H171" s="26">
        <f t="shared" si="9"/>
        <v>244835623</v>
      </c>
      <c r="I171" s="21" t="s">
        <v>329</v>
      </c>
      <c r="K171" s="21"/>
      <c r="L171" s="21"/>
      <c r="M171" s="21"/>
      <c r="N171" s="21"/>
    </row>
    <row r="172" spans="1:14" s="9" customFormat="1" ht="15.75" x14ac:dyDescent="0.25">
      <c r="A172" s="14"/>
      <c r="B172" s="2"/>
      <c r="C172" s="11"/>
      <c r="D172" s="11"/>
      <c r="E172" s="11"/>
      <c r="F172" s="11"/>
      <c r="G172" s="11"/>
      <c r="H172" s="3"/>
    </row>
    <row r="173" spans="1:14" s="9" customFormat="1" ht="15.75" x14ac:dyDescent="0.25">
      <c r="A173" s="14"/>
      <c r="B173" s="16" t="s">
        <v>351</v>
      </c>
      <c r="C173" s="11"/>
      <c r="D173" s="11"/>
      <c r="E173" s="11"/>
      <c r="F173" s="11"/>
      <c r="G173" s="11"/>
      <c r="H173" s="3"/>
    </row>
    <row r="174" spans="1:14" s="9" customFormat="1" ht="15.75" x14ac:dyDescent="0.25">
      <c r="A174" s="14"/>
      <c r="B174" s="16" t="s">
        <v>82</v>
      </c>
      <c r="C174" s="11"/>
      <c r="D174" s="11"/>
      <c r="E174" s="11"/>
      <c r="F174" s="11"/>
      <c r="G174" s="11"/>
      <c r="H174" s="3"/>
    </row>
    <row r="175" spans="1:14" s="9" customFormat="1" ht="15.75" x14ac:dyDescent="0.25">
      <c r="A175" s="14" t="s">
        <v>389</v>
      </c>
      <c r="B175" s="2" t="s">
        <v>332</v>
      </c>
      <c r="C175" s="11">
        <f>1730000+20000</f>
        <v>1750000</v>
      </c>
      <c r="D175" s="11"/>
      <c r="E175" s="11"/>
      <c r="F175" s="11"/>
      <c r="G175" s="11"/>
      <c r="H175" s="22">
        <f t="shared" ref="H175:H220" si="10">SUM(C175:G175)</f>
        <v>1750000</v>
      </c>
    </row>
    <row r="176" spans="1:14" s="9" customFormat="1" ht="15.75" x14ac:dyDescent="0.25">
      <c r="A176" s="14" t="s">
        <v>390</v>
      </c>
      <c r="B176" s="2" t="s">
        <v>330</v>
      </c>
      <c r="C176" s="11"/>
      <c r="D176" s="11">
        <v>1750000</v>
      </c>
      <c r="E176" s="11"/>
      <c r="F176" s="11"/>
      <c r="G176" s="11"/>
      <c r="H176" s="22">
        <f>SUM(C176:G176)</f>
        <v>1750000</v>
      </c>
    </row>
    <row r="177" spans="1:8" s="9" customFormat="1" ht="15.75" x14ac:dyDescent="0.25">
      <c r="A177" s="14" t="s">
        <v>391</v>
      </c>
      <c r="B177" s="2" t="s">
        <v>331</v>
      </c>
      <c r="C177" s="11"/>
      <c r="D177" s="11"/>
      <c r="E177" s="11">
        <v>1000000</v>
      </c>
      <c r="F177" s="11"/>
      <c r="G177" s="11"/>
      <c r="H177" s="22">
        <f>SUM(C177:G177)</f>
        <v>1000000</v>
      </c>
    </row>
    <row r="178" spans="1:8" s="9" customFormat="1" ht="15.75" x14ac:dyDescent="0.25">
      <c r="A178" s="14" t="s">
        <v>392</v>
      </c>
      <c r="B178" s="29" t="s">
        <v>350</v>
      </c>
      <c r="C178" s="36"/>
      <c r="D178" s="11"/>
      <c r="E178" s="11"/>
      <c r="F178" s="31">
        <v>1000000</v>
      </c>
      <c r="G178" s="11"/>
      <c r="H178" s="22">
        <f>SUM(C178:G178)</f>
        <v>1000000</v>
      </c>
    </row>
    <row r="179" spans="1:8" s="9" customFormat="1" ht="15.75" x14ac:dyDescent="0.25">
      <c r="A179" s="14" t="s">
        <v>393</v>
      </c>
      <c r="B179" s="2" t="s">
        <v>81</v>
      </c>
      <c r="C179" s="11">
        <v>360876</v>
      </c>
      <c r="D179" s="11">
        <v>360876</v>
      </c>
      <c r="E179" s="11">
        <v>360876</v>
      </c>
      <c r="F179" s="11">
        <v>360876</v>
      </c>
      <c r="G179" s="11"/>
      <c r="H179" s="22">
        <f t="shared" si="10"/>
        <v>1443504</v>
      </c>
    </row>
    <row r="180" spans="1:8" s="9" customFormat="1" ht="15.75" x14ac:dyDescent="0.25">
      <c r="A180" s="14" t="s">
        <v>394</v>
      </c>
      <c r="B180" s="2" t="s">
        <v>90</v>
      </c>
      <c r="C180" s="11">
        <v>300000</v>
      </c>
      <c r="D180" s="11"/>
      <c r="E180" s="11"/>
      <c r="F180" s="11"/>
      <c r="G180" s="11"/>
      <c r="H180" s="22">
        <f t="shared" si="10"/>
        <v>300000</v>
      </c>
    </row>
    <row r="181" spans="1:8" s="9" customFormat="1" ht="15.75" x14ac:dyDescent="0.25">
      <c r="A181" s="14" t="s">
        <v>395</v>
      </c>
      <c r="B181" s="2" t="s">
        <v>93</v>
      </c>
      <c r="C181" s="11">
        <v>250000</v>
      </c>
      <c r="D181" s="11"/>
      <c r="E181" s="11"/>
      <c r="F181" s="11"/>
      <c r="G181" s="11"/>
      <c r="H181" s="22">
        <f t="shared" si="10"/>
        <v>250000</v>
      </c>
    </row>
    <row r="182" spans="1:8" s="9" customFormat="1" ht="15.75" x14ac:dyDescent="0.25">
      <c r="A182" s="14" t="s">
        <v>396</v>
      </c>
      <c r="B182" s="2" t="s">
        <v>91</v>
      </c>
      <c r="C182" s="11">
        <v>340000</v>
      </c>
      <c r="D182" s="11"/>
      <c r="E182" s="11"/>
      <c r="F182" s="11"/>
      <c r="G182" s="11"/>
      <c r="H182" s="22">
        <f t="shared" si="10"/>
        <v>340000</v>
      </c>
    </row>
    <row r="183" spans="1:8" s="9" customFormat="1" ht="15.75" x14ac:dyDescent="0.25">
      <c r="A183" s="14" t="s">
        <v>397</v>
      </c>
      <c r="B183" s="29" t="s">
        <v>363</v>
      </c>
      <c r="C183" s="31">
        <f>120000+5000</f>
        <v>125000</v>
      </c>
      <c r="D183" s="30">
        <v>125000</v>
      </c>
      <c r="E183" s="11"/>
      <c r="F183" s="11"/>
      <c r="G183" s="11"/>
      <c r="H183" s="22">
        <f t="shared" si="10"/>
        <v>250000</v>
      </c>
    </row>
    <row r="184" spans="1:8" s="9" customFormat="1" ht="15.75" x14ac:dyDescent="0.25">
      <c r="A184" s="14" t="s">
        <v>398</v>
      </c>
      <c r="B184" s="2" t="s">
        <v>94</v>
      </c>
      <c r="C184" s="11">
        <v>186000</v>
      </c>
      <c r="D184" s="11"/>
      <c r="E184" s="11"/>
      <c r="F184" s="11"/>
      <c r="G184" s="11"/>
      <c r="H184" s="22">
        <f t="shared" si="10"/>
        <v>186000</v>
      </c>
    </row>
    <row r="185" spans="1:8" s="9" customFormat="1" ht="15.75" x14ac:dyDescent="0.25">
      <c r="A185" s="14"/>
      <c r="B185" s="16" t="s">
        <v>74</v>
      </c>
      <c r="C185" s="11"/>
      <c r="D185" s="11"/>
      <c r="E185" s="11"/>
      <c r="F185" s="11"/>
      <c r="G185" s="11"/>
      <c r="H185" s="22">
        <f t="shared" si="10"/>
        <v>0</v>
      </c>
    </row>
    <row r="186" spans="1:8" s="9" customFormat="1" ht="15.75" x14ac:dyDescent="0.25">
      <c r="A186" s="14" t="s">
        <v>399</v>
      </c>
      <c r="B186" s="29" t="s">
        <v>361</v>
      </c>
      <c r="C186" s="30">
        <v>681000</v>
      </c>
      <c r="D186" s="11"/>
      <c r="E186" s="11"/>
      <c r="F186" s="11"/>
      <c r="G186" s="11"/>
      <c r="H186" s="22">
        <f t="shared" si="10"/>
        <v>681000</v>
      </c>
    </row>
    <row r="187" spans="1:8" s="9" customFormat="1" ht="15.75" x14ac:dyDescent="0.25">
      <c r="A187" s="14" t="s">
        <v>400</v>
      </c>
      <c r="B187" s="29" t="s">
        <v>362</v>
      </c>
      <c r="C187" s="30">
        <f>511000+60000</f>
        <v>571000</v>
      </c>
      <c r="D187" s="11"/>
      <c r="E187" s="11"/>
      <c r="F187" s="11"/>
      <c r="G187" s="11"/>
      <c r="H187" s="22">
        <f t="shared" si="10"/>
        <v>571000</v>
      </c>
    </row>
    <row r="188" spans="1:8" s="9" customFormat="1" ht="15.75" x14ac:dyDescent="0.25">
      <c r="A188" s="14"/>
      <c r="B188" s="16" t="s">
        <v>83</v>
      </c>
      <c r="C188" s="11"/>
      <c r="D188" s="11"/>
      <c r="E188" s="11"/>
      <c r="F188" s="11"/>
      <c r="G188" s="11"/>
      <c r="H188" s="22">
        <f t="shared" si="10"/>
        <v>0</v>
      </c>
    </row>
    <row r="189" spans="1:8" s="9" customFormat="1" ht="15.75" x14ac:dyDescent="0.25">
      <c r="A189" s="14" t="s">
        <v>401</v>
      </c>
      <c r="B189" s="2" t="s">
        <v>339</v>
      </c>
      <c r="C189" s="11">
        <v>750000</v>
      </c>
      <c r="D189" s="11">
        <v>750000</v>
      </c>
      <c r="E189" s="11">
        <v>750000</v>
      </c>
      <c r="F189" s="11">
        <v>750000</v>
      </c>
      <c r="G189" s="11"/>
      <c r="H189" s="22">
        <f>SUM(C189:G189)</f>
        <v>3000000</v>
      </c>
    </row>
    <row r="190" spans="1:8" s="9" customFormat="1" ht="15.75" x14ac:dyDescent="0.25">
      <c r="A190" s="14" t="s">
        <v>402</v>
      </c>
      <c r="B190" s="2" t="s">
        <v>340</v>
      </c>
      <c r="C190" s="11">
        <v>750000</v>
      </c>
      <c r="D190" s="11">
        <v>750000</v>
      </c>
      <c r="E190" s="11">
        <v>750000</v>
      </c>
      <c r="F190" s="11">
        <v>750000</v>
      </c>
      <c r="G190" s="11"/>
      <c r="H190" s="22">
        <f>SUM(C190:G190)</f>
        <v>3000000</v>
      </c>
    </row>
    <row r="191" spans="1:8" s="9" customFormat="1" ht="15.75" x14ac:dyDescent="0.25">
      <c r="A191" s="14" t="s">
        <v>403</v>
      </c>
      <c r="B191" s="2" t="s">
        <v>78</v>
      </c>
      <c r="C191" s="11"/>
      <c r="D191" s="11"/>
      <c r="E191" s="11">
        <v>298000</v>
      </c>
      <c r="F191" s="11"/>
      <c r="G191" s="11"/>
      <c r="H191" s="22">
        <f t="shared" si="10"/>
        <v>298000</v>
      </c>
    </row>
    <row r="192" spans="1:8" s="9" customFormat="1" ht="15.75" x14ac:dyDescent="0.25">
      <c r="A192" s="14" t="s">
        <v>404</v>
      </c>
      <c r="B192" s="2" t="s">
        <v>85</v>
      </c>
      <c r="C192" s="11"/>
      <c r="D192" s="11"/>
      <c r="E192" s="11">
        <v>200000</v>
      </c>
      <c r="F192" s="11"/>
      <c r="G192" s="11"/>
      <c r="H192" s="22">
        <f t="shared" si="10"/>
        <v>200000</v>
      </c>
    </row>
    <row r="193" spans="1:8" s="9" customFormat="1" ht="15.75" x14ac:dyDescent="0.25">
      <c r="A193" s="14" t="s">
        <v>405</v>
      </c>
      <c r="B193" s="2" t="s">
        <v>87</v>
      </c>
      <c r="C193" s="11"/>
      <c r="D193" s="11"/>
      <c r="E193" s="11">
        <v>2171582</v>
      </c>
      <c r="F193" s="11"/>
      <c r="G193" s="11"/>
      <c r="H193" s="22">
        <f t="shared" si="10"/>
        <v>2171582</v>
      </c>
    </row>
    <row r="194" spans="1:8" s="9" customFormat="1" ht="15.75" x14ac:dyDescent="0.25">
      <c r="A194" s="14" t="s">
        <v>406</v>
      </c>
      <c r="B194" s="2" t="s">
        <v>84</v>
      </c>
      <c r="C194" s="11"/>
      <c r="D194" s="11"/>
      <c r="E194" s="11">
        <v>305000</v>
      </c>
      <c r="F194" s="11"/>
      <c r="G194" s="11"/>
      <c r="H194" s="22">
        <f t="shared" si="10"/>
        <v>305000</v>
      </c>
    </row>
    <row r="195" spans="1:8" s="9" customFormat="1" ht="15.75" x14ac:dyDescent="0.25">
      <c r="A195" s="14" t="s">
        <v>407</v>
      </c>
      <c r="B195" s="2" t="s">
        <v>341</v>
      </c>
      <c r="C195" s="11">
        <v>125004</v>
      </c>
      <c r="D195" s="11">
        <v>125000</v>
      </c>
      <c r="E195" s="11">
        <v>125000</v>
      </c>
      <c r="F195" s="11">
        <v>125000</v>
      </c>
      <c r="G195" s="11"/>
      <c r="H195" s="22">
        <f>SUM(C195:G195)</f>
        <v>500004</v>
      </c>
    </row>
    <row r="196" spans="1:8" s="9" customFormat="1" ht="15.75" x14ac:dyDescent="0.25">
      <c r="A196" s="14" t="s">
        <v>408</v>
      </c>
      <c r="B196" s="2" t="s">
        <v>342</v>
      </c>
      <c r="C196" s="11">
        <v>125004</v>
      </c>
      <c r="D196" s="11">
        <v>125000</v>
      </c>
      <c r="E196" s="11">
        <v>125000</v>
      </c>
      <c r="F196" s="11">
        <v>125000</v>
      </c>
      <c r="G196" s="11"/>
      <c r="H196" s="22">
        <f>SUM(C196:G196)</f>
        <v>500004</v>
      </c>
    </row>
    <row r="197" spans="1:8" s="9" customFormat="1" ht="15.75" x14ac:dyDescent="0.25">
      <c r="A197" s="14" t="s">
        <v>409</v>
      </c>
      <c r="B197" s="2" t="s">
        <v>89</v>
      </c>
      <c r="C197" s="11"/>
      <c r="D197" s="11">
        <v>400000</v>
      </c>
      <c r="E197" s="11">
        <v>400000</v>
      </c>
      <c r="F197" s="11"/>
      <c r="G197" s="11"/>
      <c r="H197" s="22">
        <f t="shared" si="10"/>
        <v>800000</v>
      </c>
    </row>
    <row r="198" spans="1:8" s="9" customFormat="1" ht="15.75" x14ac:dyDescent="0.25">
      <c r="A198" s="14" t="s">
        <v>410</v>
      </c>
      <c r="B198" s="2" t="s">
        <v>88</v>
      </c>
      <c r="C198" s="11"/>
      <c r="D198" s="11">
        <v>1500000</v>
      </c>
      <c r="E198" s="11"/>
      <c r="F198" s="11"/>
      <c r="G198" s="11"/>
      <c r="H198" s="22">
        <f t="shared" si="10"/>
        <v>1500000</v>
      </c>
    </row>
    <row r="199" spans="1:8" s="9" customFormat="1" ht="15.75" x14ac:dyDescent="0.25">
      <c r="A199" s="14"/>
      <c r="B199" s="16" t="s">
        <v>36</v>
      </c>
      <c r="C199" s="11"/>
      <c r="D199" s="11"/>
      <c r="E199" s="11"/>
      <c r="F199" s="11"/>
      <c r="G199" s="11"/>
      <c r="H199" s="22">
        <f t="shared" si="10"/>
        <v>0</v>
      </c>
    </row>
    <row r="200" spans="1:8" s="9" customFormat="1" ht="15.75" x14ac:dyDescent="0.25">
      <c r="A200" s="14" t="s">
        <v>411</v>
      </c>
      <c r="B200" s="2" t="s">
        <v>76</v>
      </c>
      <c r="C200" s="11"/>
      <c r="D200" s="11">
        <v>703170</v>
      </c>
      <c r="E200" s="11"/>
      <c r="F200" s="11"/>
      <c r="G200" s="11"/>
      <c r="H200" s="22">
        <f t="shared" si="10"/>
        <v>703170</v>
      </c>
    </row>
    <row r="201" spans="1:8" s="9" customFormat="1" ht="15.75" x14ac:dyDescent="0.25">
      <c r="A201" s="14" t="s">
        <v>412</v>
      </c>
      <c r="B201" s="29" t="s">
        <v>359</v>
      </c>
      <c r="C201" s="30"/>
      <c r="D201" s="30">
        <v>1991750</v>
      </c>
      <c r="E201" s="11"/>
      <c r="F201" s="11"/>
      <c r="G201" s="11"/>
      <c r="H201" s="22">
        <f t="shared" si="10"/>
        <v>1991750</v>
      </c>
    </row>
    <row r="202" spans="1:8" s="9" customFormat="1" ht="15.75" x14ac:dyDescent="0.25">
      <c r="A202" s="14" t="s">
        <v>413</v>
      </c>
      <c r="B202" s="2" t="s">
        <v>86</v>
      </c>
      <c r="C202" s="11"/>
      <c r="D202" s="11">
        <v>815055</v>
      </c>
      <c r="E202" s="11"/>
      <c r="F202" s="11"/>
      <c r="G202" s="11"/>
      <c r="H202" s="22">
        <f t="shared" si="10"/>
        <v>815055</v>
      </c>
    </row>
    <row r="203" spans="1:8" s="9" customFormat="1" ht="15.75" x14ac:dyDescent="0.25">
      <c r="A203" s="14" t="s">
        <v>414</v>
      </c>
      <c r="B203" s="2" t="s">
        <v>75</v>
      </c>
      <c r="C203" s="11"/>
      <c r="D203" s="11"/>
      <c r="E203" s="11">
        <v>4157600</v>
      </c>
      <c r="F203" s="11"/>
      <c r="G203" s="11"/>
      <c r="H203" s="22">
        <f t="shared" si="10"/>
        <v>4157600</v>
      </c>
    </row>
    <row r="204" spans="1:8" s="9" customFormat="1" ht="15.75" x14ac:dyDescent="0.25">
      <c r="A204" s="14" t="s">
        <v>415</v>
      </c>
      <c r="B204" s="2" t="s">
        <v>77</v>
      </c>
      <c r="C204" s="11"/>
      <c r="D204" s="11"/>
      <c r="E204" s="11">
        <v>4649550</v>
      </c>
      <c r="F204" s="11"/>
      <c r="G204" s="11"/>
      <c r="H204" s="22">
        <f t="shared" si="10"/>
        <v>4649550</v>
      </c>
    </row>
    <row r="205" spans="1:8" s="9" customFormat="1" ht="15.75" x14ac:dyDescent="0.25">
      <c r="A205" s="14" t="s">
        <v>416</v>
      </c>
      <c r="B205" s="2" t="s">
        <v>79</v>
      </c>
      <c r="C205" s="11"/>
      <c r="D205" s="11"/>
      <c r="E205" s="11">
        <v>815055</v>
      </c>
      <c r="F205" s="11"/>
      <c r="G205" s="11"/>
      <c r="H205" s="22">
        <f t="shared" si="10"/>
        <v>815055</v>
      </c>
    </row>
    <row r="206" spans="1:8" s="9" customFormat="1" ht="15.75" x14ac:dyDescent="0.25">
      <c r="A206" s="14"/>
      <c r="B206" s="2"/>
      <c r="C206" s="11"/>
      <c r="D206" s="11"/>
      <c r="E206" s="11"/>
      <c r="F206" s="11"/>
      <c r="G206" s="11"/>
      <c r="H206" s="22"/>
    </row>
    <row r="207" spans="1:8" s="9" customFormat="1" ht="15.75" x14ac:dyDescent="0.25">
      <c r="A207" s="14" t="s">
        <v>417</v>
      </c>
      <c r="B207" s="29" t="s">
        <v>360</v>
      </c>
      <c r="C207" s="30">
        <f>759860+40140</f>
        <v>800000</v>
      </c>
      <c r="D207" s="30">
        <v>800000</v>
      </c>
      <c r="E207" s="11"/>
      <c r="F207" s="11"/>
      <c r="G207" s="11"/>
      <c r="H207" s="22">
        <f>SUM(C207:G207)</f>
        <v>1600000</v>
      </c>
    </row>
    <row r="208" spans="1:8" s="9" customFormat="1" ht="15.75" x14ac:dyDescent="0.25">
      <c r="A208" s="14" t="s">
        <v>418</v>
      </c>
      <c r="B208" s="2" t="s">
        <v>522</v>
      </c>
      <c r="C208" s="11">
        <f>(5137000*0)+3954857</f>
        <v>3954857</v>
      </c>
      <c r="D208" s="11">
        <f>(24614300*0)+24614300</f>
        <v>24614300</v>
      </c>
      <c r="E208" s="11">
        <f>(9460666*0)+10264809</f>
        <v>10264809</v>
      </c>
      <c r="F208" s="11">
        <f>(6008400*0)+6008400+378000</f>
        <v>6386400</v>
      </c>
      <c r="G208" s="11"/>
      <c r="H208" s="22">
        <f>SUM(C208:G208)</f>
        <v>45220366</v>
      </c>
    </row>
    <row r="209" spans="1:14" s="9" customFormat="1" ht="15.75" x14ac:dyDescent="0.25">
      <c r="A209" s="43"/>
      <c r="B209" s="43" t="s">
        <v>521</v>
      </c>
      <c r="C209" s="44">
        <f t="shared" ref="C209:H209" si="11">SUM(C175:C208)</f>
        <v>11068741</v>
      </c>
      <c r="D209" s="44">
        <f t="shared" si="11"/>
        <v>34810151</v>
      </c>
      <c r="E209" s="44">
        <f t="shared" si="11"/>
        <v>26372472</v>
      </c>
      <c r="F209" s="44">
        <f t="shared" si="11"/>
        <v>9497276</v>
      </c>
      <c r="G209" s="44">
        <f t="shared" si="11"/>
        <v>0</v>
      </c>
      <c r="H209" s="44">
        <f t="shared" si="11"/>
        <v>81748640</v>
      </c>
      <c r="I209" s="21" t="s">
        <v>329</v>
      </c>
      <c r="K209" s="21"/>
      <c r="L209" s="21"/>
      <c r="M209" s="21"/>
      <c r="N209" s="21"/>
    </row>
    <row r="210" spans="1:14" s="9" customFormat="1" ht="15.75" x14ac:dyDescent="0.25">
      <c r="A210" s="14"/>
      <c r="B210" s="2"/>
      <c r="C210" s="11"/>
      <c r="D210" s="11"/>
      <c r="E210" s="11"/>
      <c r="F210" s="11"/>
      <c r="G210" s="11"/>
      <c r="H210" s="22"/>
    </row>
    <row r="211" spans="1:14" s="9" customFormat="1" ht="15.75" x14ac:dyDescent="0.25">
      <c r="A211" s="14"/>
      <c r="B211" s="16" t="s">
        <v>352</v>
      </c>
      <c r="C211" s="11"/>
      <c r="D211" s="11"/>
      <c r="E211" s="11"/>
      <c r="F211" s="11"/>
      <c r="G211" s="11"/>
      <c r="H211" s="22"/>
    </row>
    <row r="212" spans="1:14" s="9" customFormat="1" ht="15.75" x14ac:dyDescent="0.25">
      <c r="A212" s="14" t="s">
        <v>512</v>
      </c>
      <c r="B212" s="29" t="s">
        <v>354</v>
      </c>
      <c r="C212" s="30">
        <v>11641000</v>
      </c>
      <c r="D212" s="11"/>
      <c r="E212" s="11"/>
      <c r="F212" s="11"/>
      <c r="G212" s="11"/>
      <c r="H212" s="22">
        <f t="shared" si="10"/>
        <v>11641000</v>
      </c>
    </row>
    <row r="213" spans="1:14" s="9" customFormat="1" ht="15.75" x14ac:dyDescent="0.25">
      <c r="A213" s="14" t="s">
        <v>514</v>
      </c>
      <c r="B213" s="29" t="s">
        <v>356</v>
      </c>
      <c r="C213" s="30">
        <v>2000000</v>
      </c>
      <c r="D213" s="30">
        <v>2000000</v>
      </c>
      <c r="E213" s="30">
        <v>2000000</v>
      </c>
      <c r="F213" s="30">
        <v>2000000</v>
      </c>
      <c r="G213" s="30">
        <v>2000000</v>
      </c>
      <c r="H213" s="22">
        <f t="shared" si="10"/>
        <v>10000000</v>
      </c>
    </row>
    <row r="214" spans="1:14" s="9" customFormat="1" ht="15.75" x14ac:dyDescent="0.25">
      <c r="A214" s="14" t="s">
        <v>513</v>
      </c>
      <c r="B214" s="29" t="s">
        <v>355</v>
      </c>
      <c r="C214" s="30">
        <f>81076+8800</f>
        <v>89876</v>
      </c>
      <c r="D214" s="18"/>
      <c r="E214" s="18"/>
      <c r="F214" s="18"/>
      <c r="G214" s="18"/>
      <c r="H214" s="22">
        <f t="shared" si="10"/>
        <v>89876</v>
      </c>
    </row>
    <row r="215" spans="1:14" s="9" customFormat="1" ht="15.75" x14ac:dyDescent="0.25">
      <c r="A215" s="14" t="s">
        <v>511</v>
      </c>
      <c r="B215" s="29" t="s">
        <v>357</v>
      </c>
      <c r="C215" s="31">
        <f>275126+25000</f>
        <v>300126</v>
      </c>
      <c r="D215" s="11"/>
      <c r="E215" s="11"/>
      <c r="F215" s="11"/>
      <c r="G215" s="11"/>
      <c r="H215" s="22">
        <f>SUM(C215:G215)</f>
        <v>300126</v>
      </c>
    </row>
    <row r="216" spans="1:14" s="9" customFormat="1" ht="15.75" x14ac:dyDescent="0.25">
      <c r="A216" s="14" t="s">
        <v>510</v>
      </c>
      <c r="B216" s="29" t="s">
        <v>358</v>
      </c>
      <c r="C216" s="30">
        <f>861200+238800</f>
        <v>1100000</v>
      </c>
      <c r="D216" s="11"/>
      <c r="E216" s="11"/>
      <c r="F216" s="11"/>
      <c r="G216" s="11"/>
      <c r="H216" s="22">
        <f>SUM(C216:G216)</f>
        <v>1100000</v>
      </c>
    </row>
    <row r="217" spans="1:14" s="9" customFormat="1" ht="15.75" x14ac:dyDescent="0.25">
      <c r="A217" s="14"/>
      <c r="B217" s="2" t="s">
        <v>120</v>
      </c>
      <c r="C217" s="18"/>
      <c r="D217" s="18"/>
      <c r="E217" s="18"/>
      <c r="F217" s="18">
        <v>2000000</v>
      </c>
      <c r="G217" s="18"/>
      <c r="H217" s="22">
        <f t="shared" si="10"/>
        <v>2000000</v>
      </c>
    </row>
    <row r="218" spans="1:14" s="9" customFormat="1" ht="15.75" x14ac:dyDescent="0.25">
      <c r="A218" s="14"/>
      <c r="B218" s="2" t="s">
        <v>119</v>
      </c>
      <c r="C218" s="18"/>
      <c r="D218" s="18">
        <v>4500000</v>
      </c>
      <c r="E218" s="18"/>
      <c r="F218" s="18"/>
      <c r="G218" s="18"/>
      <c r="H218" s="22">
        <f t="shared" si="10"/>
        <v>4500000</v>
      </c>
    </row>
    <row r="219" spans="1:14" s="9" customFormat="1" ht="15.75" x14ac:dyDescent="0.25">
      <c r="A219" s="14" t="s">
        <v>509</v>
      </c>
      <c r="B219" s="2" t="s">
        <v>117</v>
      </c>
      <c r="C219" s="18">
        <v>2000000</v>
      </c>
      <c r="D219" s="18">
        <v>1000000</v>
      </c>
      <c r="E219" s="18"/>
      <c r="F219" s="18"/>
      <c r="G219" s="18"/>
      <c r="H219" s="22">
        <f t="shared" si="10"/>
        <v>3000000</v>
      </c>
    </row>
    <row r="220" spans="1:14" s="9" customFormat="1" ht="15.75" x14ac:dyDescent="0.25">
      <c r="A220" s="17"/>
      <c r="B220" s="2" t="s">
        <v>53</v>
      </c>
      <c r="C220" s="18"/>
      <c r="D220" s="18"/>
      <c r="E220" s="18"/>
      <c r="F220" s="18">
        <v>3000000</v>
      </c>
      <c r="G220" s="18"/>
      <c r="H220" s="22">
        <f t="shared" si="10"/>
        <v>3000000</v>
      </c>
    </row>
    <row r="221" spans="1:14" s="9" customFormat="1" ht="15.75" x14ac:dyDescent="0.25">
      <c r="A221" s="43"/>
      <c r="B221" s="43" t="s">
        <v>353</v>
      </c>
      <c r="C221" s="44">
        <f t="shared" ref="C221:H221" si="12">SUM(C212:C220)</f>
        <v>17131002</v>
      </c>
      <c r="D221" s="44">
        <f t="shared" si="12"/>
        <v>7500000</v>
      </c>
      <c r="E221" s="44">
        <f t="shared" si="12"/>
        <v>2000000</v>
      </c>
      <c r="F221" s="44">
        <f t="shared" si="12"/>
        <v>7000000</v>
      </c>
      <c r="G221" s="44">
        <f t="shared" si="12"/>
        <v>2000000</v>
      </c>
      <c r="H221" s="44">
        <f t="shared" si="12"/>
        <v>35631002</v>
      </c>
      <c r="I221" s="21" t="s">
        <v>329</v>
      </c>
      <c r="K221" s="21"/>
      <c r="L221" s="21"/>
      <c r="M221" s="21"/>
      <c r="N221" s="21"/>
    </row>
    <row r="222" spans="1:14" s="9" customFormat="1" ht="15" x14ac:dyDescent="0.2">
      <c r="A222" s="14"/>
      <c r="B222" s="5"/>
      <c r="C222" s="10"/>
      <c r="D222" s="10"/>
      <c r="E222" s="10"/>
      <c r="F222" s="10"/>
      <c r="G222" s="10"/>
      <c r="H222" s="10"/>
    </row>
    <row r="223" spans="1:14" s="9" customFormat="1" ht="18" x14ac:dyDescent="0.25">
      <c r="A223" s="45"/>
      <c r="B223" s="45" t="s">
        <v>364</v>
      </c>
      <c r="C223" s="34">
        <f>+C221+C209+C171</f>
        <v>66894366</v>
      </c>
      <c r="D223" s="46">
        <f t="shared" ref="D223:H223" si="13">+D221+D209+D171</f>
        <v>98060151</v>
      </c>
      <c r="E223" s="46">
        <f t="shared" si="13"/>
        <v>84972472</v>
      </c>
      <c r="F223" s="46">
        <f t="shared" si="13"/>
        <v>71638276</v>
      </c>
      <c r="G223" s="46">
        <f t="shared" si="13"/>
        <v>40650000</v>
      </c>
      <c r="H223" s="46">
        <f t="shared" si="13"/>
        <v>362215265</v>
      </c>
      <c r="I223" s="9" t="s">
        <v>329</v>
      </c>
    </row>
    <row r="224" spans="1:14" ht="15.75" x14ac:dyDescent="0.25">
      <c r="A224" s="14"/>
      <c r="B224" s="2"/>
      <c r="C224" s="3"/>
      <c r="D224" s="3"/>
      <c r="E224" s="3"/>
      <c r="F224" s="3"/>
      <c r="G224" s="4"/>
      <c r="H224" s="4"/>
    </row>
    <row r="225" spans="1:8" s="9" customFormat="1" ht="15.75" x14ac:dyDescent="0.25">
      <c r="A225" s="13"/>
      <c r="B225" s="16" t="s">
        <v>345</v>
      </c>
      <c r="C225" s="3"/>
      <c r="D225" s="3"/>
      <c r="E225" s="3"/>
      <c r="F225" s="3"/>
      <c r="G225" s="3"/>
      <c r="H225" s="3"/>
    </row>
    <row r="226" spans="1:8" s="9" customFormat="1" ht="15.75" x14ac:dyDescent="0.25">
      <c r="A226" s="14" t="s">
        <v>461</v>
      </c>
      <c r="B226" s="2" t="s">
        <v>285</v>
      </c>
      <c r="C226" s="18">
        <f>841504+93132</f>
        <v>934636</v>
      </c>
      <c r="D226" s="18">
        <v>950000</v>
      </c>
      <c r="E226" s="18">
        <v>1000000</v>
      </c>
      <c r="F226" s="18">
        <v>900000</v>
      </c>
      <c r="G226" s="18">
        <v>1000000</v>
      </c>
      <c r="H226" s="22">
        <f t="shared" ref="H226:H232" si="14">SUM(C226:G226)</f>
        <v>4784636</v>
      </c>
    </row>
    <row r="227" spans="1:8" s="9" customFormat="1" ht="15.75" x14ac:dyDescent="0.25">
      <c r="A227" s="14" t="s">
        <v>471</v>
      </c>
      <c r="B227" s="2" t="s">
        <v>333</v>
      </c>
      <c r="C227" s="18">
        <v>499998</v>
      </c>
      <c r="D227" s="18"/>
      <c r="E227" s="18"/>
      <c r="F227" s="18"/>
      <c r="G227" s="18">
        <v>500000</v>
      </c>
      <c r="H227" s="22">
        <f>SUM(C227:G227)</f>
        <v>999998</v>
      </c>
    </row>
    <row r="228" spans="1:8" s="9" customFormat="1" ht="15.75" x14ac:dyDescent="0.25">
      <c r="A228" s="14" t="s">
        <v>469</v>
      </c>
      <c r="B228" s="2" t="s">
        <v>287</v>
      </c>
      <c r="C228" s="18">
        <v>499998</v>
      </c>
      <c r="D228" s="18">
        <v>750000</v>
      </c>
      <c r="E228" s="18">
        <v>750000</v>
      </c>
      <c r="F228" s="18">
        <v>750000</v>
      </c>
      <c r="G228" s="18">
        <v>750000</v>
      </c>
      <c r="H228" s="22">
        <f t="shared" si="14"/>
        <v>3499998</v>
      </c>
    </row>
    <row r="229" spans="1:8" s="9" customFormat="1" ht="15.75" x14ac:dyDescent="0.25">
      <c r="A229" s="14" t="s">
        <v>462</v>
      </c>
      <c r="B229" s="2" t="s">
        <v>288</v>
      </c>
      <c r="C229" s="18">
        <f>180000+19998</f>
        <v>199998</v>
      </c>
      <c r="D229" s="18"/>
      <c r="E229" s="18"/>
      <c r="F229" s="18"/>
      <c r="G229" s="18"/>
      <c r="H229" s="22">
        <f t="shared" si="14"/>
        <v>199998</v>
      </c>
    </row>
    <row r="230" spans="1:8" s="9" customFormat="1" ht="15.75" x14ac:dyDescent="0.25">
      <c r="A230" s="14" t="s">
        <v>463</v>
      </c>
      <c r="B230" s="2" t="s">
        <v>293</v>
      </c>
      <c r="C230" s="18">
        <f>90000+10002</f>
        <v>100002</v>
      </c>
      <c r="D230" s="18"/>
      <c r="E230" s="18"/>
      <c r="F230" s="18"/>
      <c r="G230" s="18"/>
      <c r="H230" s="22">
        <f t="shared" si="14"/>
        <v>100002</v>
      </c>
    </row>
    <row r="231" spans="1:8" s="9" customFormat="1" ht="15.75" x14ac:dyDescent="0.25">
      <c r="A231" s="14"/>
      <c r="B231" s="2" t="s">
        <v>324</v>
      </c>
      <c r="C231" s="18"/>
      <c r="D231" s="18">
        <v>300000</v>
      </c>
      <c r="E231" s="18">
        <v>250000</v>
      </c>
      <c r="F231" s="18">
        <v>250000</v>
      </c>
      <c r="G231" s="18">
        <v>250000</v>
      </c>
      <c r="H231" s="22">
        <f>SUM(C231:G231)</f>
        <v>1050000</v>
      </c>
    </row>
    <row r="232" spans="1:8" s="9" customFormat="1" ht="15.75" x14ac:dyDescent="0.25">
      <c r="A232" s="14" t="s">
        <v>475</v>
      </c>
      <c r="B232" s="2" t="s">
        <v>307</v>
      </c>
      <c r="C232" s="18">
        <v>199998</v>
      </c>
      <c r="D232" s="18"/>
      <c r="E232" s="18"/>
      <c r="F232" s="18"/>
      <c r="G232" s="18"/>
      <c r="H232" s="22">
        <f t="shared" si="14"/>
        <v>199998</v>
      </c>
    </row>
    <row r="233" spans="1:8" s="9" customFormat="1" ht="15.75" x14ac:dyDescent="0.25">
      <c r="A233" s="43"/>
      <c r="B233" s="43" t="s">
        <v>346</v>
      </c>
      <c r="C233" s="44">
        <f t="shared" ref="C233:H233" si="15">SUM(C226:C232)</f>
        <v>2434630</v>
      </c>
      <c r="D233" s="44">
        <f t="shared" si="15"/>
        <v>2000000</v>
      </c>
      <c r="E233" s="44">
        <f t="shared" si="15"/>
        <v>2000000</v>
      </c>
      <c r="F233" s="44">
        <f t="shared" si="15"/>
        <v>1900000</v>
      </c>
      <c r="G233" s="44">
        <f t="shared" si="15"/>
        <v>2500000</v>
      </c>
      <c r="H233" s="44">
        <f t="shared" si="15"/>
        <v>10834630</v>
      </c>
    </row>
    <row r="234" spans="1:8" s="9" customFormat="1" ht="15.75" x14ac:dyDescent="0.25">
      <c r="A234" s="14"/>
      <c r="B234" s="2"/>
      <c r="C234" s="18"/>
      <c r="D234" s="18"/>
      <c r="E234" s="18"/>
      <c r="F234" s="18"/>
      <c r="G234" s="18"/>
      <c r="H234" s="22"/>
    </row>
    <row r="235" spans="1:8" s="9" customFormat="1" ht="15.75" x14ac:dyDescent="0.25">
      <c r="A235" s="14"/>
      <c r="B235" s="16" t="s">
        <v>347</v>
      </c>
      <c r="C235" s="18"/>
      <c r="D235" s="18"/>
      <c r="E235" s="18"/>
      <c r="F235" s="18"/>
      <c r="G235" s="18"/>
      <c r="H235" s="22"/>
    </row>
    <row r="236" spans="1:8" s="9" customFormat="1" ht="15.75" x14ac:dyDescent="0.25">
      <c r="A236" s="14"/>
      <c r="B236" s="2" t="s">
        <v>334</v>
      </c>
      <c r="C236" s="11"/>
      <c r="D236" s="11"/>
      <c r="E236" s="11"/>
      <c r="F236" s="11"/>
      <c r="G236" s="11">
        <f>6600000-2400000</f>
        <v>4200000</v>
      </c>
      <c r="H236" s="22">
        <f t="shared" ref="H236:H250" si="16">SUM(C236:G236)</f>
        <v>4200000</v>
      </c>
    </row>
    <row r="237" spans="1:8" s="9" customFormat="1" ht="15.75" x14ac:dyDescent="0.25">
      <c r="A237" s="14" t="s">
        <v>135</v>
      </c>
      <c r="B237" s="2" t="s">
        <v>289</v>
      </c>
      <c r="C237" s="18">
        <v>1014500</v>
      </c>
      <c r="D237" s="11"/>
      <c r="E237" s="11"/>
      <c r="F237" s="11"/>
      <c r="G237" s="11"/>
      <c r="H237" s="22">
        <f t="shared" si="16"/>
        <v>1014500</v>
      </c>
    </row>
    <row r="238" spans="1:8" s="9" customFormat="1" ht="15.75" x14ac:dyDescent="0.25">
      <c r="A238" s="14" t="s">
        <v>464</v>
      </c>
      <c r="B238" s="2" t="s">
        <v>296</v>
      </c>
      <c r="C238" s="18">
        <f>495000+55002</f>
        <v>550002</v>
      </c>
      <c r="D238" s="11"/>
      <c r="E238" s="11"/>
      <c r="F238" s="11"/>
      <c r="G238" s="11"/>
      <c r="H238" s="22">
        <f>SUM(C238:G238)</f>
        <v>550002</v>
      </c>
    </row>
    <row r="239" spans="1:8" s="9" customFormat="1" ht="15.75" x14ac:dyDescent="0.25">
      <c r="A239" s="14" t="s">
        <v>465</v>
      </c>
      <c r="B239" s="2" t="s">
        <v>297</v>
      </c>
      <c r="C239" s="11">
        <f>360000+39996</f>
        <v>399996</v>
      </c>
      <c r="D239" s="11"/>
      <c r="E239" s="11"/>
      <c r="F239" s="11"/>
      <c r="G239" s="11"/>
      <c r="H239" s="22">
        <f t="shared" si="16"/>
        <v>399996</v>
      </c>
    </row>
    <row r="240" spans="1:8" s="9" customFormat="1" ht="15.75" x14ac:dyDescent="0.25">
      <c r="A240" s="14" t="s">
        <v>466</v>
      </c>
      <c r="B240" s="2" t="s">
        <v>298</v>
      </c>
      <c r="C240" s="11">
        <f>270000+30000</f>
        <v>300000</v>
      </c>
      <c r="D240" s="11"/>
      <c r="E240" s="11"/>
      <c r="F240" s="11"/>
      <c r="G240" s="11"/>
      <c r="H240" s="22">
        <f t="shared" si="16"/>
        <v>300000</v>
      </c>
    </row>
    <row r="241" spans="1:8" s="9" customFormat="1" ht="15.75" x14ac:dyDescent="0.25">
      <c r="A241" s="14" t="s">
        <v>467</v>
      </c>
      <c r="B241" s="2" t="s">
        <v>299</v>
      </c>
      <c r="C241" s="11">
        <f>225012+25008</f>
        <v>250020</v>
      </c>
      <c r="D241" s="11"/>
      <c r="E241" s="11"/>
      <c r="F241" s="11"/>
      <c r="G241" s="11"/>
      <c r="H241" s="22">
        <f t="shared" si="16"/>
        <v>250020</v>
      </c>
    </row>
    <row r="242" spans="1:8" s="9" customFormat="1" ht="15.75" x14ac:dyDescent="0.25">
      <c r="A242" s="14" t="s">
        <v>468</v>
      </c>
      <c r="B242" s="2" t="s">
        <v>300</v>
      </c>
      <c r="C242" s="11">
        <f>225012+25008</f>
        <v>250020</v>
      </c>
      <c r="D242" s="11"/>
      <c r="E242" s="11"/>
      <c r="F242" s="11"/>
      <c r="G242" s="11"/>
      <c r="H242" s="22">
        <f t="shared" si="16"/>
        <v>250020</v>
      </c>
    </row>
    <row r="243" spans="1:8" s="9" customFormat="1" ht="15.75" x14ac:dyDescent="0.25">
      <c r="A243" s="14" t="s">
        <v>470</v>
      </c>
      <c r="B243" s="2" t="s">
        <v>302</v>
      </c>
      <c r="C243" s="11">
        <f>360000+40002</f>
        <v>400002</v>
      </c>
      <c r="D243" s="11"/>
      <c r="E243" s="11"/>
      <c r="F243" s="11"/>
      <c r="G243" s="11"/>
      <c r="H243" s="22">
        <f t="shared" si="16"/>
        <v>400002</v>
      </c>
    </row>
    <row r="244" spans="1:8" s="9" customFormat="1" ht="15.75" x14ac:dyDescent="0.25">
      <c r="A244" s="14" t="s">
        <v>472</v>
      </c>
      <c r="B244" s="2" t="s">
        <v>303</v>
      </c>
      <c r="C244" s="11">
        <v>500004</v>
      </c>
      <c r="D244" s="11"/>
      <c r="E244" s="11"/>
      <c r="F244" s="11"/>
      <c r="G244" s="11"/>
      <c r="H244" s="22">
        <f t="shared" si="16"/>
        <v>500004</v>
      </c>
    </row>
    <row r="245" spans="1:8" s="9" customFormat="1" ht="15.75" x14ac:dyDescent="0.25">
      <c r="A245" s="14" t="s">
        <v>473</v>
      </c>
      <c r="B245" s="2" t="s">
        <v>305</v>
      </c>
      <c r="C245" s="11">
        <v>300000</v>
      </c>
      <c r="D245" s="11"/>
      <c r="E245" s="11"/>
      <c r="F245" s="11"/>
      <c r="G245" s="11"/>
      <c r="H245" s="22">
        <f t="shared" si="16"/>
        <v>300000</v>
      </c>
    </row>
    <row r="246" spans="1:8" s="9" customFormat="1" ht="15.75" x14ac:dyDescent="0.25">
      <c r="A246" s="14" t="s">
        <v>474</v>
      </c>
      <c r="B246" s="2" t="s">
        <v>306</v>
      </c>
      <c r="C246" s="11">
        <v>300000</v>
      </c>
      <c r="D246" s="11"/>
      <c r="E246" s="11"/>
      <c r="F246" s="11"/>
      <c r="G246" s="11"/>
      <c r="H246" s="22">
        <f t="shared" si="16"/>
        <v>300000</v>
      </c>
    </row>
    <row r="247" spans="1:8" s="9" customFormat="1" ht="15.75" x14ac:dyDescent="0.25">
      <c r="A247" s="14" t="s">
        <v>476</v>
      </c>
      <c r="B247" s="2" t="s">
        <v>310</v>
      </c>
      <c r="C247" s="11">
        <v>300000</v>
      </c>
      <c r="D247" s="11"/>
      <c r="E247" s="11"/>
      <c r="F247" s="11"/>
      <c r="G247" s="11"/>
      <c r="H247" s="22">
        <f t="shared" si="16"/>
        <v>300000</v>
      </c>
    </row>
    <row r="248" spans="1:8" s="9" customFormat="1" ht="15.75" x14ac:dyDescent="0.25">
      <c r="A248" s="14" t="s">
        <v>477</v>
      </c>
      <c r="B248" s="2" t="s">
        <v>311</v>
      </c>
      <c r="C248" s="11">
        <v>300000</v>
      </c>
      <c r="D248" s="11"/>
      <c r="E248" s="11"/>
      <c r="F248" s="11"/>
      <c r="G248" s="11"/>
      <c r="H248" s="22">
        <f t="shared" si="16"/>
        <v>300000</v>
      </c>
    </row>
    <row r="249" spans="1:8" s="9" customFormat="1" ht="15.75" x14ac:dyDescent="0.25">
      <c r="A249" s="14" t="s">
        <v>478</v>
      </c>
      <c r="B249" s="2" t="s">
        <v>312</v>
      </c>
      <c r="C249" s="11">
        <v>300000</v>
      </c>
      <c r="D249" s="11"/>
      <c r="E249" s="11"/>
      <c r="F249" s="11"/>
      <c r="G249" s="11"/>
      <c r="H249" s="22">
        <f t="shared" si="16"/>
        <v>300000</v>
      </c>
    </row>
    <row r="250" spans="1:8" s="9" customFormat="1" ht="15.75" x14ac:dyDescent="0.25">
      <c r="A250" s="14" t="s">
        <v>479</v>
      </c>
      <c r="B250" s="2" t="s">
        <v>313</v>
      </c>
      <c r="C250" s="11">
        <v>500004</v>
      </c>
      <c r="D250" s="11"/>
      <c r="E250" s="11"/>
      <c r="F250" s="11"/>
      <c r="G250" s="11"/>
      <c r="H250" s="22">
        <f t="shared" si="16"/>
        <v>500004</v>
      </c>
    </row>
    <row r="251" spans="1:8" s="9" customFormat="1" ht="15.75" x14ac:dyDescent="0.25">
      <c r="A251" s="43"/>
      <c r="B251" s="43" t="s">
        <v>348</v>
      </c>
      <c r="C251" s="44">
        <f t="shared" ref="C251:H251" si="17">SUM(C236:C250)</f>
        <v>5664548</v>
      </c>
      <c r="D251" s="44">
        <f t="shared" si="17"/>
        <v>0</v>
      </c>
      <c r="E251" s="44">
        <f t="shared" si="17"/>
        <v>0</v>
      </c>
      <c r="F251" s="44">
        <f t="shared" si="17"/>
        <v>0</v>
      </c>
      <c r="G251" s="44">
        <f t="shared" si="17"/>
        <v>4200000</v>
      </c>
      <c r="H251" s="44">
        <f t="shared" si="17"/>
        <v>9864548</v>
      </c>
    </row>
    <row r="252" spans="1:8" s="9" customFormat="1" ht="15.75" x14ac:dyDescent="0.25">
      <c r="A252" s="14"/>
      <c r="B252" s="2"/>
      <c r="C252" s="18"/>
      <c r="D252" s="18"/>
      <c r="E252" s="18"/>
      <c r="F252" s="18"/>
      <c r="G252" s="18"/>
      <c r="H252" s="22"/>
    </row>
    <row r="253" spans="1:8" s="9" customFormat="1" ht="15.75" x14ac:dyDescent="0.25">
      <c r="A253" s="14"/>
      <c r="B253" s="16" t="s">
        <v>344</v>
      </c>
      <c r="C253" s="18"/>
      <c r="D253" s="18"/>
      <c r="E253" s="18"/>
      <c r="F253" s="18"/>
      <c r="G253" s="18"/>
      <c r="H253" s="22"/>
    </row>
    <row r="254" spans="1:8" s="9" customFormat="1" ht="15.75" x14ac:dyDescent="0.25">
      <c r="A254" s="14" t="s">
        <v>367</v>
      </c>
      <c r="B254" s="2" t="s">
        <v>284</v>
      </c>
      <c r="C254" s="11">
        <f>950000+50000</f>
        <v>1000000</v>
      </c>
      <c r="D254" s="11">
        <v>1000000</v>
      </c>
      <c r="E254" s="11">
        <v>1000000</v>
      </c>
      <c r="F254" s="11">
        <v>1000000</v>
      </c>
      <c r="G254" s="11"/>
      <c r="H254" s="22">
        <f t="shared" ref="H254:H275" si="18">SUM(C254:G254)</f>
        <v>4000000</v>
      </c>
    </row>
    <row r="255" spans="1:8" s="9" customFormat="1" ht="15.75" x14ac:dyDescent="0.25">
      <c r="A255" s="14" t="s">
        <v>368</v>
      </c>
      <c r="B255" s="2" t="s">
        <v>290</v>
      </c>
      <c r="C255" s="11"/>
      <c r="D255" s="11">
        <v>1000000</v>
      </c>
      <c r="E255" s="11">
        <v>1500000</v>
      </c>
      <c r="F255" s="11">
        <v>500000</v>
      </c>
      <c r="G255" s="11"/>
      <c r="H255" s="22">
        <f t="shared" si="18"/>
        <v>3000000</v>
      </c>
    </row>
    <row r="256" spans="1:8" s="9" customFormat="1" ht="15.75" x14ac:dyDescent="0.25">
      <c r="A256" s="14" t="s">
        <v>369</v>
      </c>
      <c r="B256" s="2" t="s">
        <v>291</v>
      </c>
      <c r="C256" s="11">
        <v>1000880</v>
      </c>
      <c r="D256" s="11">
        <v>4000000</v>
      </c>
      <c r="E256" s="11">
        <v>5000000</v>
      </c>
      <c r="F256" s="11"/>
      <c r="G256" s="11"/>
      <c r="H256" s="22">
        <f t="shared" si="18"/>
        <v>10000880</v>
      </c>
    </row>
    <row r="257" spans="1:8" s="9" customFormat="1" ht="15.75" x14ac:dyDescent="0.25">
      <c r="A257" s="14" t="s">
        <v>370</v>
      </c>
      <c r="B257" s="2" t="s">
        <v>292</v>
      </c>
      <c r="C257" s="11"/>
      <c r="D257" s="11">
        <v>1000000</v>
      </c>
      <c r="E257" s="11">
        <v>4000000</v>
      </c>
      <c r="F257" s="11">
        <v>5000000</v>
      </c>
      <c r="G257" s="11"/>
      <c r="H257" s="22">
        <f t="shared" si="18"/>
        <v>10000000</v>
      </c>
    </row>
    <row r="258" spans="1:8" s="9" customFormat="1" ht="15.75" x14ac:dyDescent="0.25">
      <c r="A258" s="14" t="s">
        <v>371</v>
      </c>
      <c r="B258" s="2" t="s">
        <v>294</v>
      </c>
      <c r="C258" s="11"/>
      <c r="D258" s="11">
        <v>2000000</v>
      </c>
      <c r="E258" s="11">
        <v>2500000</v>
      </c>
      <c r="F258" s="11">
        <v>2500000</v>
      </c>
      <c r="G258" s="11"/>
      <c r="H258" s="22">
        <f t="shared" si="18"/>
        <v>7000000</v>
      </c>
    </row>
    <row r="259" spans="1:8" s="9" customFormat="1" ht="15.75" x14ac:dyDescent="0.25">
      <c r="A259" s="14" t="s">
        <v>372</v>
      </c>
      <c r="B259" s="2" t="s">
        <v>295</v>
      </c>
      <c r="C259" s="11"/>
      <c r="D259" s="11"/>
      <c r="E259" s="11">
        <v>2400000</v>
      </c>
      <c r="F259" s="11">
        <v>2500000</v>
      </c>
      <c r="G259" s="11">
        <v>2400000</v>
      </c>
      <c r="H259" s="22">
        <f t="shared" si="18"/>
        <v>7300000</v>
      </c>
    </row>
    <row r="260" spans="1:8" s="9" customFormat="1" ht="15.75" x14ac:dyDescent="0.25">
      <c r="A260" s="14" t="s">
        <v>373</v>
      </c>
      <c r="B260" s="2" t="s">
        <v>286</v>
      </c>
      <c r="C260" s="11"/>
      <c r="D260" s="11">
        <v>500000</v>
      </c>
      <c r="E260" s="11"/>
      <c r="F260" s="11"/>
      <c r="G260" s="11"/>
      <c r="H260" s="22">
        <f t="shared" si="18"/>
        <v>500000</v>
      </c>
    </row>
    <row r="261" spans="1:8" s="9" customFormat="1" ht="15.75" x14ac:dyDescent="0.25">
      <c r="A261" s="14" t="s">
        <v>374</v>
      </c>
      <c r="B261" s="2" t="s">
        <v>304</v>
      </c>
      <c r="C261" s="11"/>
      <c r="D261" s="11">
        <v>500000</v>
      </c>
      <c r="E261" s="11"/>
      <c r="F261" s="11"/>
      <c r="G261" s="11"/>
      <c r="H261" s="22">
        <f t="shared" si="18"/>
        <v>500000</v>
      </c>
    </row>
    <row r="262" spans="1:8" s="9" customFormat="1" ht="15.75" x14ac:dyDescent="0.25">
      <c r="A262" s="14" t="s">
        <v>375</v>
      </c>
      <c r="B262" s="2" t="s">
        <v>308</v>
      </c>
      <c r="C262" s="11"/>
      <c r="D262" s="11">
        <v>1500000</v>
      </c>
      <c r="E262" s="11"/>
      <c r="F262" s="11"/>
      <c r="G262" s="11"/>
      <c r="H262" s="22">
        <f t="shared" si="18"/>
        <v>1500000</v>
      </c>
    </row>
    <row r="263" spans="1:8" s="9" customFormat="1" ht="15.75" x14ac:dyDescent="0.25">
      <c r="A263" s="14" t="s">
        <v>376</v>
      </c>
      <c r="B263" s="2" t="s">
        <v>308</v>
      </c>
      <c r="C263" s="11"/>
      <c r="D263" s="11"/>
      <c r="E263" s="11">
        <v>1500000</v>
      </c>
      <c r="F263" s="11"/>
      <c r="G263" s="11"/>
      <c r="H263" s="22">
        <f t="shared" si="18"/>
        <v>1500000</v>
      </c>
    </row>
    <row r="264" spans="1:8" s="9" customFormat="1" ht="15.75" x14ac:dyDescent="0.25">
      <c r="A264" s="14" t="s">
        <v>377</v>
      </c>
      <c r="B264" s="2" t="s">
        <v>309</v>
      </c>
      <c r="C264" s="11"/>
      <c r="D264" s="11">
        <v>2000000</v>
      </c>
      <c r="E264" s="11">
        <v>2000000</v>
      </c>
      <c r="F264" s="11">
        <v>2000000</v>
      </c>
      <c r="G264" s="11"/>
      <c r="H264" s="22">
        <f t="shared" si="18"/>
        <v>6000000</v>
      </c>
    </row>
    <row r="265" spans="1:8" s="9" customFormat="1" ht="15.75" x14ac:dyDescent="0.25">
      <c r="A265" s="14" t="s">
        <v>378</v>
      </c>
      <c r="B265" s="2" t="s">
        <v>301</v>
      </c>
      <c r="C265" s="11">
        <f>1800000+200004</f>
        <v>2000004</v>
      </c>
      <c r="D265" s="11">
        <v>2500000</v>
      </c>
      <c r="E265" s="11"/>
      <c r="F265" s="11"/>
      <c r="G265" s="11"/>
      <c r="H265" s="22">
        <f>SUM(C265:G265)</f>
        <v>4500004</v>
      </c>
    </row>
    <row r="266" spans="1:8" s="9" customFormat="1" ht="15.75" x14ac:dyDescent="0.25">
      <c r="A266" s="14" t="s">
        <v>379</v>
      </c>
      <c r="B266" s="2" t="s">
        <v>314</v>
      </c>
      <c r="C266" s="11"/>
      <c r="D266" s="11">
        <v>250000</v>
      </c>
      <c r="E266" s="11"/>
      <c r="F266" s="11"/>
      <c r="G266" s="11"/>
      <c r="H266" s="22">
        <f t="shared" si="18"/>
        <v>250000</v>
      </c>
    </row>
    <row r="267" spans="1:8" s="9" customFormat="1" ht="15.75" x14ac:dyDescent="0.25">
      <c r="A267" s="14" t="s">
        <v>380</v>
      </c>
      <c r="B267" s="2" t="s">
        <v>315</v>
      </c>
      <c r="C267" s="11"/>
      <c r="D267" s="11">
        <v>250000</v>
      </c>
      <c r="E267" s="11"/>
      <c r="F267" s="11"/>
      <c r="G267" s="11"/>
      <c r="H267" s="22">
        <f t="shared" si="18"/>
        <v>250000</v>
      </c>
    </row>
    <row r="268" spans="1:8" s="9" customFormat="1" ht="15.75" x14ac:dyDescent="0.25">
      <c r="A268" s="14" t="s">
        <v>381</v>
      </c>
      <c r="B268" s="2" t="s">
        <v>316</v>
      </c>
      <c r="C268" s="11"/>
      <c r="D268" s="11">
        <v>250000</v>
      </c>
      <c r="E268" s="11"/>
      <c r="F268" s="11"/>
      <c r="G268" s="11"/>
      <c r="H268" s="22">
        <f t="shared" si="18"/>
        <v>250000</v>
      </c>
    </row>
    <row r="269" spans="1:8" s="9" customFormat="1" ht="15.75" x14ac:dyDescent="0.25">
      <c r="A269" s="14" t="s">
        <v>382</v>
      </c>
      <c r="B269" s="2" t="s">
        <v>317</v>
      </c>
      <c r="C269" s="11"/>
      <c r="D269" s="11"/>
      <c r="E269" s="11">
        <v>250000</v>
      </c>
      <c r="F269" s="11"/>
      <c r="G269" s="11"/>
      <c r="H269" s="22">
        <f t="shared" si="18"/>
        <v>250000</v>
      </c>
    </row>
    <row r="270" spans="1:8" s="9" customFormat="1" ht="15.75" x14ac:dyDescent="0.25">
      <c r="A270" s="14" t="s">
        <v>383</v>
      </c>
      <c r="B270" s="2" t="s">
        <v>318</v>
      </c>
      <c r="C270" s="11"/>
      <c r="D270" s="11">
        <v>250000</v>
      </c>
      <c r="E270" s="11"/>
      <c r="F270" s="11"/>
      <c r="G270" s="11"/>
      <c r="H270" s="22">
        <f t="shared" si="18"/>
        <v>250000</v>
      </c>
    </row>
    <row r="271" spans="1:8" s="9" customFormat="1" ht="15.75" x14ac:dyDescent="0.25">
      <c r="A271" s="14" t="s">
        <v>384</v>
      </c>
      <c r="B271" s="2" t="s">
        <v>319</v>
      </c>
      <c r="C271" s="11"/>
      <c r="D271" s="11"/>
      <c r="E271" s="11">
        <v>100000</v>
      </c>
      <c r="F271" s="11"/>
      <c r="G271" s="11"/>
      <c r="H271" s="22">
        <f t="shared" si="18"/>
        <v>100000</v>
      </c>
    </row>
    <row r="272" spans="1:8" s="9" customFormat="1" ht="15.75" x14ac:dyDescent="0.25">
      <c r="A272" s="14" t="s">
        <v>385</v>
      </c>
      <c r="B272" s="2" t="s">
        <v>320</v>
      </c>
      <c r="C272" s="11"/>
      <c r="D272" s="11"/>
      <c r="E272" s="11">
        <v>250000</v>
      </c>
      <c r="F272" s="11"/>
      <c r="G272" s="11"/>
      <c r="H272" s="22">
        <f t="shared" si="18"/>
        <v>250000</v>
      </c>
    </row>
    <row r="273" spans="1:8" s="9" customFormat="1" ht="15.75" x14ac:dyDescent="0.25">
      <c r="A273" s="14" t="s">
        <v>386</v>
      </c>
      <c r="B273" s="2" t="s">
        <v>321</v>
      </c>
      <c r="C273" s="11"/>
      <c r="D273" s="11">
        <v>200000</v>
      </c>
      <c r="E273" s="11">
        <v>250000</v>
      </c>
      <c r="F273" s="11"/>
      <c r="G273" s="11"/>
      <c r="H273" s="22">
        <f t="shared" si="18"/>
        <v>450000</v>
      </c>
    </row>
    <row r="274" spans="1:8" s="9" customFormat="1" ht="15.75" x14ac:dyDescent="0.25">
      <c r="A274" s="14" t="s">
        <v>387</v>
      </c>
      <c r="B274" s="2" t="s">
        <v>322</v>
      </c>
      <c r="C274" s="11"/>
      <c r="D274" s="11"/>
      <c r="E274" s="11">
        <v>250000</v>
      </c>
      <c r="F274" s="11"/>
      <c r="G274" s="11"/>
      <c r="H274" s="22">
        <f t="shared" si="18"/>
        <v>250000</v>
      </c>
    </row>
    <row r="275" spans="1:8" s="9" customFormat="1" ht="15.75" x14ac:dyDescent="0.25">
      <c r="A275" s="14" t="s">
        <v>388</v>
      </c>
      <c r="B275" s="2" t="s">
        <v>323</v>
      </c>
      <c r="C275" s="11"/>
      <c r="D275" s="11">
        <v>300000</v>
      </c>
      <c r="E275" s="11"/>
      <c r="F275" s="11"/>
      <c r="G275" s="11"/>
      <c r="H275" s="22">
        <f t="shared" si="18"/>
        <v>300000</v>
      </c>
    </row>
    <row r="276" spans="1:8" s="9" customFormat="1" ht="15.75" x14ac:dyDescent="0.25">
      <c r="A276" s="43"/>
      <c r="B276" s="43" t="s">
        <v>349</v>
      </c>
      <c r="C276" s="44">
        <f t="shared" ref="C276:H276" si="19">SUM(C254:C275)</f>
        <v>4000884</v>
      </c>
      <c r="D276" s="44">
        <f t="shared" si="19"/>
        <v>17500000</v>
      </c>
      <c r="E276" s="44">
        <f t="shared" si="19"/>
        <v>21000000</v>
      </c>
      <c r="F276" s="44">
        <f t="shared" si="19"/>
        <v>13500000</v>
      </c>
      <c r="G276" s="44">
        <f t="shared" si="19"/>
        <v>2400000</v>
      </c>
      <c r="H276" s="44">
        <f t="shared" si="19"/>
        <v>58400884</v>
      </c>
    </row>
    <row r="277" spans="1:8" s="9" customFormat="1" ht="15.75" x14ac:dyDescent="0.25">
      <c r="A277" s="17"/>
      <c r="B277" s="32"/>
      <c r="C277" s="33"/>
      <c r="D277" s="33"/>
      <c r="E277" s="33"/>
      <c r="F277" s="33"/>
      <c r="G277" s="33"/>
      <c r="H277" s="33"/>
    </row>
    <row r="278" spans="1:8" s="9" customFormat="1" ht="18" x14ac:dyDescent="0.25">
      <c r="A278" s="45"/>
      <c r="B278" s="45" t="s">
        <v>326</v>
      </c>
      <c r="C278" s="34">
        <f>+C276+C251+C233</f>
        <v>12100062</v>
      </c>
      <c r="D278" s="46">
        <f t="shared" ref="D278:H278" si="20">+D276+D251+D233</f>
        <v>19500000</v>
      </c>
      <c r="E278" s="46">
        <f t="shared" si="20"/>
        <v>23000000</v>
      </c>
      <c r="F278" s="46">
        <f t="shared" si="20"/>
        <v>15400000</v>
      </c>
      <c r="G278" s="46">
        <f t="shared" si="20"/>
        <v>9100000</v>
      </c>
      <c r="H278" s="46">
        <f t="shared" si="20"/>
        <v>79100062</v>
      </c>
    </row>
    <row r="279" spans="1:8" s="9" customFormat="1" ht="15.75" x14ac:dyDescent="0.25">
      <c r="A279" s="17"/>
      <c r="B279" s="2"/>
      <c r="C279" s="18"/>
      <c r="D279" s="18"/>
      <c r="E279" s="18"/>
      <c r="F279" s="18"/>
      <c r="G279" s="18"/>
      <c r="H279" s="22"/>
    </row>
    <row r="280" spans="1:8" ht="15.75" x14ac:dyDescent="0.25">
      <c r="A280" s="14"/>
      <c r="B280" s="12" t="s">
        <v>132</v>
      </c>
      <c r="C280" s="10"/>
      <c r="D280" s="10"/>
      <c r="E280" s="10"/>
      <c r="F280" s="10"/>
      <c r="G280" s="10"/>
      <c r="H280" s="4"/>
    </row>
    <row r="281" spans="1:8" s="9" customFormat="1" ht="15.75" x14ac:dyDescent="0.25">
      <c r="A281" s="14" t="s">
        <v>457</v>
      </c>
      <c r="B281" s="2" t="s">
        <v>133</v>
      </c>
      <c r="C281" s="11">
        <f>5669400+3580470</f>
        <v>9249870</v>
      </c>
      <c r="D281" s="11"/>
      <c r="E281" s="11"/>
      <c r="F281" s="11"/>
      <c r="G281" s="11"/>
      <c r="H281" s="22">
        <f>SUM(C281:G281)</f>
        <v>9249870</v>
      </c>
    </row>
    <row r="282" spans="1:8" s="9" customFormat="1" ht="15.75" x14ac:dyDescent="0.25">
      <c r="A282" s="14"/>
      <c r="B282" s="2" t="s">
        <v>134</v>
      </c>
      <c r="C282" s="11" t="s">
        <v>135</v>
      </c>
      <c r="D282" s="11" t="s">
        <v>135</v>
      </c>
      <c r="E282" s="11" t="s">
        <v>135</v>
      </c>
      <c r="F282" s="11">
        <v>500000</v>
      </c>
      <c r="G282" s="11">
        <v>1000000</v>
      </c>
      <c r="H282" s="22">
        <f t="shared" ref="H282:H300" si="21">SUM(C282:G282)</f>
        <v>1500000</v>
      </c>
    </row>
    <row r="283" spans="1:8" s="9" customFormat="1" ht="15.75" x14ac:dyDescent="0.25">
      <c r="A283" s="14"/>
      <c r="B283" s="2" t="s">
        <v>136</v>
      </c>
      <c r="C283" s="11" t="s">
        <v>135</v>
      </c>
      <c r="D283" s="11"/>
      <c r="E283" s="11"/>
      <c r="F283" s="11"/>
      <c r="G283" s="11"/>
      <c r="H283" s="22">
        <f t="shared" si="21"/>
        <v>0</v>
      </c>
    </row>
    <row r="284" spans="1:8" s="9" customFormat="1" ht="15.75" x14ac:dyDescent="0.25">
      <c r="A284" s="14" t="s">
        <v>426</v>
      </c>
      <c r="B284" s="2" t="s">
        <v>137</v>
      </c>
      <c r="C284" s="11">
        <v>20000</v>
      </c>
      <c r="D284" s="11"/>
      <c r="E284" s="11"/>
      <c r="F284" s="11"/>
      <c r="G284" s="11"/>
      <c r="H284" s="22">
        <f t="shared" si="21"/>
        <v>20000</v>
      </c>
    </row>
    <row r="285" spans="1:8" s="9" customFormat="1" ht="15.75" x14ac:dyDescent="0.25">
      <c r="A285" s="14"/>
      <c r="B285" s="2" t="s">
        <v>138</v>
      </c>
      <c r="C285" s="11">
        <f>(110500-82000)*0</f>
        <v>0</v>
      </c>
      <c r="D285" s="11"/>
      <c r="E285" s="11"/>
      <c r="F285" s="11"/>
      <c r="G285" s="11"/>
      <c r="H285" s="22">
        <f t="shared" si="21"/>
        <v>0</v>
      </c>
    </row>
    <row r="286" spans="1:8" s="9" customFormat="1" ht="15.75" x14ac:dyDescent="0.25">
      <c r="A286" s="14" t="s">
        <v>427</v>
      </c>
      <c r="B286" s="2" t="s">
        <v>139</v>
      </c>
      <c r="C286" s="11">
        <v>20000</v>
      </c>
      <c r="D286" s="11"/>
      <c r="E286" s="11"/>
      <c r="F286" s="11"/>
      <c r="G286" s="11"/>
      <c r="H286" s="22">
        <f t="shared" si="21"/>
        <v>20000</v>
      </c>
    </row>
    <row r="287" spans="1:8" s="9" customFormat="1" ht="15.75" x14ac:dyDescent="0.25">
      <c r="A287" s="14"/>
      <c r="B287" s="2" t="s">
        <v>140</v>
      </c>
      <c r="C287" s="11">
        <f>20000*0</f>
        <v>0</v>
      </c>
      <c r="D287" s="11" t="s">
        <v>135</v>
      </c>
      <c r="E287" s="11"/>
      <c r="F287" s="11"/>
      <c r="G287" s="11"/>
      <c r="H287" s="22">
        <f t="shared" si="21"/>
        <v>0</v>
      </c>
    </row>
    <row r="288" spans="1:8" s="9" customFormat="1" ht="15.75" x14ac:dyDescent="0.25">
      <c r="A288" s="14" t="s">
        <v>141</v>
      </c>
      <c r="B288" s="2" t="s">
        <v>142</v>
      </c>
      <c r="C288" s="11">
        <v>1905860</v>
      </c>
      <c r="D288" s="11" t="s">
        <v>135</v>
      </c>
      <c r="E288" s="11" t="s">
        <v>135</v>
      </c>
      <c r="F288" s="11"/>
      <c r="G288" s="11">
        <v>2000000</v>
      </c>
      <c r="H288" s="22">
        <f t="shared" si="21"/>
        <v>3905860</v>
      </c>
    </row>
    <row r="289" spans="1:14" s="9" customFormat="1" ht="15.75" x14ac:dyDescent="0.25">
      <c r="A289" s="14"/>
      <c r="B289" s="2" t="s">
        <v>143</v>
      </c>
      <c r="C289" s="11"/>
      <c r="D289" s="11"/>
      <c r="E289" s="11"/>
      <c r="F289" s="11"/>
      <c r="G289" s="11">
        <v>350000</v>
      </c>
      <c r="H289" s="22">
        <f t="shared" si="21"/>
        <v>350000</v>
      </c>
    </row>
    <row r="290" spans="1:14" s="9" customFormat="1" ht="15.75" x14ac:dyDescent="0.25">
      <c r="A290" s="14" t="s">
        <v>458</v>
      </c>
      <c r="B290" s="2" t="s">
        <v>144</v>
      </c>
      <c r="C290" s="11">
        <f>679117+84000</f>
        <v>763117</v>
      </c>
      <c r="D290" s="11" t="s">
        <v>135</v>
      </c>
      <c r="E290" s="11"/>
      <c r="F290" s="11"/>
      <c r="G290" s="11"/>
      <c r="H290" s="22">
        <f t="shared" si="21"/>
        <v>763117</v>
      </c>
    </row>
    <row r="291" spans="1:14" s="9" customFormat="1" ht="15.75" x14ac:dyDescent="0.25">
      <c r="A291" s="14" t="s">
        <v>517</v>
      </c>
      <c r="B291" s="2" t="s">
        <v>145</v>
      </c>
      <c r="C291" s="11">
        <v>30000</v>
      </c>
      <c r="D291" s="11" t="s">
        <v>135</v>
      </c>
      <c r="E291" s="11"/>
      <c r="F291" s="11"/>
      <c r="G291" s="11"/>
      <c r="H291" s="22">
        <f t="shared" si="21"/>
        <v>30000</v>
      </c>
    </row>
    <row r="292" spans="1:14" s="9" customFormat="1" ht="15.75" x14ac:dyDescent="0.25">
      <c r="A292" s="14" t="s">
        <v>516</v>
      </c>
      <c r="B292" s="2" t="s">
        <v>146</v>
      </c>
      <c r="C292" s="11">
        <v>30000</v>
      </c>
      <c r="D292" s="11"/>
      <c r="E292" s="11"/>
      <c r="F292" s="11"/>
      <c r="G292" s="11"/>
      <c r="H292" s="22">
        <f t="shared" si="21"/>
        <v>30000</v>
      </c>
    </row>
    <row r="293" spans="1:14" s="9" customFormat="1" ht="15.75" x14ac:dyDescent="0.25">
      <c r="A293" s="14"/>
      <c r="B293" s="2" t="s">
        <v>147</v>
      </c>
      <c r="C293" s="11"/>
      <c r="D293" s="11">
        <v>150000</v>
      </c>
      <c r="E293" s="11">
        <v>75000</v>
      </c>
      <c r="F293" s="11"/>
      <c r="G293" s="11"/>
      <c r="H293" s="22">
        <f t="shared" si="21"/>
        <v>225000</v>
      </c>
    </row>
    <row r="294" spans="1:14" s="9" customFormat="1" ht="15.75" x14ac:dyDescent="0.25">
      <c r="A294" s="14"/>
      <c r="B294" s="2" t="s">
        <v>148</v>
      </c>
      <c r="C294" s="11"/>
      <c r="D294" s="11"/>
      <c r="E294" s="11"/>
      <c r="F294" s="11"/>
      <c r="G294" s="11">
        <v>225000</v>
      </c>
      <c r="H294" s="22">
        <f t="shared" si="21"/>
        <v>225000</v>
      </c>
    </row>
    <row r="295" spans="1:14" s="9" customFormat="1" ht="15.75" x14ac:dyDescent="0.25">
      <c r="A295" s="14"/>
      <c r="B295" s="2" t="s">
        <v>149</v>
      </c>
      <c r="C295" s="11"/>
      <c r="D295" s="11"/>
      <c r="E295" s="11"/>
      <c r="F295" s="11"/>
      <c r="G295" s="11">
        <v>600000</v>
      </c>
      <c r="H295" s="22">
        <f t="shared" si="21"/>
        <v>600000</v>
      </c>
    </row>
    <row r="296" spans="1:14" s="9" customFormat="1" ht="15.75" x14ac:dyDescent="0.25">
      <c r="A296" s="14"/>
      <c r="B296" s="2" t="s">
        <v>150</v>
      </c>
      <c r="C296" s="11"/>
      <c r="D296" s="11"/>
      <c r="E296" s="11"/>
      <c r="F296" s="11"/>
      <c r="G296" s="11">
        <v>450000</v>
      </c>
      <c r="H296" s="22">
        <f t="shared" si="21"/>
        <v>450000</v>
      </c>
    </row>
    <row r="297" spans="1:14" s="9" customFormat="1" ht="15.75" x14ac:dyDescent="0.25">
      <c r="A297" s="14"/>
      <c r="B297" s="2" t="s">
        <v>151</v>
      </c>
      <c r="C297" s="11"/>
      <c r="D297" s="11"/>
      <c r="E297" s="11"/>
      <c r="F297" s="11"/>
      <c r="G297" s="11">
        <v>225000</v>
      </c>
      <c r="H297" s="22">
        <f t="shared" si="21"/>
        <v>225000</v>
      </c>
    </row>
    <row r="298" spans="1:14" s="9" customFormat="1" ht="15.75" x14ac:dyDescent="0.25">
      <c r="A298" s="14"/>
      <c r="B298" s="2" t="s">
        <v>152</v>
      </c>
      <c r="C298" s="11"/>
      <c r="D298" s="11"/>
      <c r="E298" s="11"/>
      <c r="F298" s="11"/>
      <c r="G298" s="11">
        <v>100000</v>
      </c>
      <c r="H298" s="22">
        <f t="shared" si="21"/>
        <v>100000</v>
      </c>
    </row>
    <row r="299" spans="1:14" s="9" customFormat="1" ht="15.75" x14ac:dyDescent="0.25">
      <c r="A299" s="14"/>
      <c r="B299" s="2" t="s">
        <v>153</v>
      </c>
      <c r="C299" s="11"/>
      <c r="D299" s="11"/>
      <c r="E299" s="11"/>
      <c r="F299" s="11"/>
      <c r="G299" s="11">
        <v>150000</v>
      </c>
      <c r="H299" s="22">
        <f t="shared" si="21"/>
        <v>150000</v>
      </c>
    </row>
    <row r="300" spans="1:14" s="9" customFormat="1" ht="15.75" x14ac:dyDescent="0.25">
      <c r="A300" s="14"/>
      <c r="B300" s="2" t="s">
        <v>154</v>
      </c>
      <c r="C300" s="11"/>
      <c r="D300" s="11"/>
      <c r="E300" s="11"/>
      <c r="F300" s="11"/>
      <c r="G300" s="11">
        <v>300000</v>
      </c>
      <c r="H300" s="22">
        <f t="shared" si="21"/>
        <v>300000</v>
      </c>
    </row>
    <row r="301" spans="1:14" s="9" customFormat="1" ht="15.75" x14ac:dyDescent="0.25">
      <c r="A301" s="43"/>
      <c r="B301" s="43" t="s">
        <v>155</v>
      </c>
      <c r="C301" s="44">
        <f t="shared" ref="C301:H301" si="22">SUM(C281:C300)</f>
        <v>12018847</v>
      </c>
      <c r="D301" s="44">
        <f t="shared" si="22"/>
        <v>150000</v>
      </c>
      <c r="E301" s="44">
        <f t="shared" si="22"/>
        <v>75000</v>
      </c>
      <c r="F301" s="44">
        <f t="shared" si="22"/>
        <v>500000</v>
      </c>
      <c r="G301" s="44">
        <f t="shared" si="22"/>
        <v>5400000</v>
      </c>
      <c r="H301" s="44">
        <f t="shared" si="22"/>
        <v>18143847</v>
      </c>
      <c r="I301" s="21" t="s">
        <v>329</v>
      </c>
      <c r="K301" s="21"/>
      <c r="L301" s="21"/>
      <c r="M301" s="21"/>
      <c r="N301" s="21"/>
    </row>
    <row r="302" spans="1:14" ht="15.75" x14ac:dyDescent="0.25">
      <c r="A302" s="14"/>
      <c r="B302" s="5"/>
      <c r="C302" s="10"/>
      <c r="D302" s="10"/>
      <c r="E302" s="10"/>
      <c r="F302" s="10"/>
      <c r="G302" s="10"/>
      <c r="H302" s="4" t="s">
        <v>135</v>
      </c>
    </row>
    <row r="303" spans="1:14" ht="15.75" x14ac:dyDescent="0.25">
      <c r="A303" s="14"/>
      <c r="B303" s="12" t="s">
        <v>156</v>
      </c>
      <c r="C303" s="10"/>
      <c r="D303" s="10"/>
      <c r="E303" s="10"/>
      <c r="F303" s="10"/>
      <c r="G303" s="10"/>
      <c r="H303" s="4">
        <f t="shared" ref="H303:H345" si="23">SUM(C303:G303)</f>
        <v>0</v>
      </c>
    </row>
    <row r="304" spans="1:14" s="9" customFormat="1" ht="15.75" x14ac:dyDescent="0.25">
      <c r="A304" s="14"/>
      <c r="B304" s="2" t="s">
        <v>157</v>
      </c>
      <c r="C304" s="11"/>
      <c r="D304" s="11"/>
      <c r="E304" s="11"/>
      <c r="F304" s="11"/>
      <c r="G304" s="11"/>
      <c r="H304" s="22">
        <f t="shared" si="23"/>
        <v>0</v>
      </c>
    </row>
    <row r="305" spans="1:14" s="9" customFormat="1" ht="15.75" x14ac:dyDescent="0.25">
      <c r="A305" s="14"/>
      <c r="B305" s="2" t="s">
        <v>158</v>
      </c>
      <c r="C305" s="11"/>
      <c r="D305" s="11" t="s">
        <v>135</v>
      </c>
      <c r="E305" s="11" t="s">
        <v>135</v>
      </c>
      <c r="F305" s="11" t="s">
        <v>135</v>
      </c>
      <c r="G305" s="11">
        <v>500000</v>
      </c>
      <c r="H305" s="22">
        <f t="shared" si="23"/>
        <v>500000</v>
      </c>
    </row>
    <row r="306" spans="1:14" s="9" customFormat="1" ht="15.75" x14ac:dyDescent="0.25">
      <c r="A306" s="14"/>
      <c r="B306" s="2" t="s">
        <v>159</v>
      </c>
      <c r="C306" s="11" t="s">
        <v>135</v>
      </c>
      <c r="D306" s="11">
        <v>470000</v>
      </c>
      <c r="E306" s="11" t="s">
        <v>135</v>
      </c>
      <c r="F306" s="11"/>
      <c r="G306" s="11"/>
      <c r="H306" s="22">
        <f t="shared" si="23"/>
        <v>470000</v>
      </c>
    </row>
    <row r="307" spans="1:14" s="9" customFormat="1" ht="15.75" x14ac:dyDescent="0.25">
      <c r="A307" s="14"/>
      <c r="B307" s="2" t="s">
        <v>160</v>
      </c>
      <c r="C307" s="11" t="s">
        <v>135</v>
      </c>
      <c r="D307" s="11">
        <v>200000</v>
      </c>
      <c r="E307" s="11"/>
      <c r="F307" s="11"/>
      <c r="G307" s="11"/>
      <c r="H307" s="22">
        <f t="shared" si="23"/>
        <v>200000</v>
      </c>
    </row>
    <row r="308" spans="1:14" s="9" customFormat="1" ht="15.75" x14ac:dyDescent="0.25">
      <c r="A308" s="14"/>
      <c r="B308" s="2" t="s">
        <v>161</v>
      </c>
      <c r="C308" s="11" t="s">
        <v>135</v>
      </c>
      <c r="D308" s="11">
        <v>600000</v>
      </c>
      <c r="E308" s="11" t="s">
        <v>135</v>
      </c>
      <c r="F308" s="11"/>
      <c r="G308" s="11"/>
      <c r="H308" s="22">
        <f t="shared" si="23"/>
        <v>600000</v>
      </c>
    </row>
    <row r="309" spans="1:14" s="9" customFormat="1" ht="15.75" x14ac:dyDescent="0.25">
      <c r="A309" s="14"/>
      <c r="B309" s="2" t="s">
        <v>162</v>
      </c>
      <c r="C309" s="11" t="s">
        <v>135</v>
      </c>
      <c r="D309" s="11">
        <v>170000</v>
      </c>
      <c r="E309" s="11"/>
      <c r="F309" s="11"/>
      <c r="G309" s="11"/>
      <c r="H309" s="22">
        <f t="shared" si="23"/>
        <v>170000</v>
      </c>
    </row>
    <row r="310" spans="1:14" s="9" customFormat="1" ht="15.75" x14ac:dyDescent="0.25">
      <c r="A310" s="14"/>
      <c r="B310" s="2" t="s">
        <v>163</v>
      </c>
      <c r="C310" s="11"/>
      <c r="D310" s="11" t="s">
        <v>135</v>
      </c>
      <c r="E310" s="11">
        <v>150000</v>
      </c>
      <c r="F310" s="11"/>
      <c r="G310" s="11"/>
      <c r="H310" s="22">
        <f t="shared" si="23"/>
        <v>150000</v>
      </c>
    </row>
    <row r="311" spans="1:14" s="9" customFormat="1" ht="15.75" x14ac:dyDescent="0.25">
      <c r="A311" s="14"/>
      <c r="B311" s="2" t="s">
        <v>164</v>
      </c>
      <c r="C311" s="11" t="s">
        <v>135</v>
      </c>
      <c r="D311" s="11">
        <v>130000</v>
      </c>
      <c r="E311" s="11"/>
      <c r="F311" s="11"/>
      <c r="G311" s="11"/>
      <c r="H311" s="22">
        <f t="shared" si="23"/>
        <v>130000</v>
      </c>
    </row>
    <row r="312" spans="1:14" s="9" customFormat="1" ht="15.75" x14ac:dyDescent="0.25">
      <c r="A312" s="14"/>
      <c r="B312" s="2" t="s">
        <v>165</v>
      </c>
      <c r="C312" s="11"/>
      <c r="D312" s="11"/>
      <c r="E312" s="11">
        <v>75000</v>
      </c>
      <c r="F312" s="11">
        <v>150000</v>
      </c>
      <c r="G312" s="11">
        <v>75000</v>
      </c>
      <c r="H312" s="22">
        <f t="shared" si="23"/>
        <v>300000</v>
      </c>
    </row>
    <row r="313" spans="1:14" s="9" customFormat="1" ht="15.75" x14ac:dyDescent="0.25">
      <c r="A313" s="14"/>
      <c r="B313" s="2" t="s">
        <v>166</v>
      </c>
      <c r="C313" s="11" t="s">
        <v>135</v>
      </c>
      <c r="D313" s="11">
        <v>350000</v>
      </c>
      <c r="E313" s="11"/>
      <c r="F313" s="11"/>
      <c r="G313" s="11"/>
      <c r="H313" s="22">
        <f t="shared" si="23"/>
        <v>350000</v>
      </c>
    </row>
    <row r="314" spans="1:14" s="9" customFormat="1" ht="15.75" x14ac:dyDescent="0.25">
      <c r="A314" s="14"/>
      <c r="B314" s="2" t="s">
        <v>167</v>
      </c>
      <c r="C314" s="11"/>
      <c r="D314" s="11">
        <v>2200000</v>
      </c>
      <c r="E314" s="11"/>
      <c r="F314" s="11"/>
      <c r="G314" s="11"/>
      <c r="H314" s="22">
        <f t="shared" si="23"/>
        <v>2200000</v>
      </c>
    </row>
    <row r="315" spans="1:14" s="9" customFormat="1" ht="15.75" x14ac:dyDescent="0.25">
      <c r="A315" s="43"/>
      <c r="B315" s="43" t="s">
        <v>168</v>
      </c>
      <c r="C315" s="44">
        <f t="shared" ref="C315:H315" si="24">SUM(C304:C314)</f>
        <v>0</v>
      </c>
      <c r="D315" s="44">
        <f t="shared" si="24"/>
        <v>4120000</v>
      </c>
      <c r="E315" s="44">
        <f t="shared" si="24"/>
        <v>225000</v>
      </c>
      <c r="F315" s="44">
        <f t="shared" si="24"/>
        <v>150000</v>
      </c>
      <c r="G315" s="44">
        <f t="shared" si="24"/>
        <v>575000</v>
      </c>
      <c r="H315" s="44">
        <f t="shared" si="24"/>
        <v>5070000</v>
      </c>
      <c r="I315" s="21" t="s">
        <v>329</v>
      </c>
      <c r="K315" s="21"/>
      <c r="L315" s="21"/>
      <c r="M315" s="21"/>
      <c r="N315" s="21"/>
    </row>
    <row r="316" spans="1:14" s="9" customFormat="1" ht="15.75" x14ac:dyDescent="0.25">
      <c r="A316" s="14"/>
      <c r="B316" s="2"/>
      <c r="C316" s="11"/>
      <c r="D316" s="11"/>
      <c r="E316" s="11"/>
      <c r="F316" s="11"/>
      <c r="G316" s="11"/>
      <c r="H316" s="22" t="s">
        <v>135</v>
      </c>
    </row>
    <row r="317" spans="1:14" s="9" customFormat="1" ht="15.75" x14ac:dyDescent="0.25">
      <c r="A317" s="14" t="s">
        <v>335</v>
      </c>
      <c r="B317" s="2" t="s">
        <v>336</v>
      </c>
      <c r="C317" s="11">
        <v>5925371</v>
      </c>
      <c r="D317" s="11">
        <v>7164669</v>
      </c>
      <c r="E317" s="11">
        <v>7141983</v>
      </c>
      <c r="F317" s="11">
        <v>7353561</v>
      </c>
      <c r="G317" s="11">
        <v>2939146</v>
      </c>
      <c r="H317" s="22">
        <v>30493509</v>
      </c>
    </row>
    <row r="318" spans="1:14" s="9" customFormat="1" ht="15.75" x14ac:dyDescent="0.25">
      <c r="A318" s="14" t="s">
        <v>337</v>
      </c>
      <c r="B318" s="2" t="s">
        <v>338</v>
      </c>
      <c r="C318" s="11">
        <v>9522694</v>
      </c>
      <c r="D318" s="11">
        <v>8320261</v>
      </c>
      <c r="E318" s="11">
        <v>9522643</v>
      </c>
      <c r="F318" s="11">
        <v>9962890</v>
      </c>
      <c r="G318" s="11">
        <v>10287011</v>
      </c>
      <c r="H318" s="22">
        <v>47646720</v>
      </c>
    </row>
    <row r="319" spans="1:14" s="9" customFormat="1" ht="15.75" x14ac:dyDescent="0.25">
      <c r="A319" s="14" t="s">
        <v>459</v>
      </c>
      <c r="B319" s="2" t="s">
        <v>169</v>
      </c>
      <c r="C319" s="11">
        <v>915807</v>
      </c>
      <c r="D319" s="11"/>
      <c r="E319" s="11"/>
      <c r="F319" s="11"/>
      <c r="G319" s="11"/>
      <c r="H319" s="22">
        <f t="shared" si="23"/>
        <v>915807</v>
      </c>
    </row>
    <row r="320" spans="1:14" s="9" customFormat="1" ht="15.75" x14ac:dyDescent="0.25">
      <c r="A320" s="14"/>
      <c r="B320" s="2" t="s">
        <v>170</v>
      </c>
      <c r="C320" s="11"/>
      <c r="D320" s="11">
        <v>9221076</v>
      </c>
      <c r="E320" s="11"/>
      <c r="F320" s="11"/>
      <c r="G320" s="11"/>
      <c r="H320" s="22">
        <f t="shared" si="23"/>
        <v>9221076</v>
      </c>
    </row>
    <row r="321" spans="1:14" s="9" customFormat="1" ht="15.75" x14ac:dyDescent="0.25">
      <c r="A321" s="43"/>
      <c r="B321" s="43" t="s">
        <v>203</v>
      </c>
      <c r="C321" s="44">
        <f t="shared" ref="C321:H321" si="25">SUM(C317:C320)</f>
        <v>16363872</v>
      </c>
      <c r="D321" s="44">
        <f t="shared" si="25"/>
        <v>24706006</v>
      </c>
      <c r="E321" s="44">
        <f t="shared" si="25"/>
        <v>16664626</v>
      </c>
      <c r="F321" s="44">
        <f t="shared" si="25"/>
        <v>17316451</v>
      </c>
      <c r="G321" s="44">
        <f t="shared" si="25"/>
        <v>13226157</v>
      </c>
      <c r="H321" s="44">
        <f t="shared" si="25"/>
        <v>88277112</v>
      </c>
      <c r="I321" s="21" t="s">
        <v>329</v>
      </c>
      <c r="K321" s="21"/>
      <c r="L321" s="21"/>
      <c r="M321" s="21"/>
      <c r="N321" s="21"/>
    </row>
    <row r="322" spans="1:14" s="9" customFormat="1" ht="15.75" x14ac:dyDescent="0.25">
      <c r="A322" s="14"/>
      <c r="B322" s="2"/>
      <c r="C322" s="11"/>
      <c r="D322" s="11"/>
      <c r="E322" s="11"/>
      <c r="F322" s="11"/>
      <c r="G322" s="11"/>
      <c r="H322" s="22"/>
    </row>
    <row r="323" spans="1:14" ht="15.75" x14ac:dyDescent="0.25">
      <c r="A323" s="14"/>
      <c r="B323" s="12" t="s">
        <v>171</v>
      </c>
      <c r="C323" s="10"/>
      <c r="D323" s="10"/>
      <c r="E323" s="10"/>
      <c r="F323" s="10"/>
      <c r="G323" s="10"/>
      <c r="H323" s="4" t="s">
        <v>135</v>
      </c>
    </row>
    <row r="324" spans="1:14" s="9" customFormat="1" ht="15.75" x14ac:dyDescent="0.25">
      <c r="A324" s="14" t="s">
        <v>428</v>
      </c>
      <c r="B324" s="2" t="s">
        <v>172</v>
      </c>
      <c r="C324" s="11">
        <v>5000000</v>
      </c>
      <c r="D324" s="11">
        <v>5000000</v>
      </c>
      <c r="E324" s="11">
        <v>5000000</v>
      </c>
      <c r="F324" s="11">
        <v>5000000</v>
      </c>
      <c r="G324" s="11">
        <v>4000000</v>
      </c>
      <c r="H324" s="22">
        <f t="shared" si="23"/>
        <v>24000000</v>
      </c>
    </row>
    <row r="325" spans="1:14" s="9" customFormat="1" ht="15.75" x14ac:dyDescent="0.25">
      <c r="A325" s="14" t="s">
        <v>173</v>
      </c>
      <c r="B325" s="2" t="s">
        <v>174</v>
      </c>
      <c r="C325" s="11">
        <v>150320</v>
      </c>
      <c r="D325" s="11"/>
      <c r="E325" s="11"/>
      <c r="F325" s="11"/>
      <c r="G325" s="11"/>
      <c r="H325" s="22">
        <f t="shared" si="23"/>
        <v>150320</v>
      </c>
    </row>
    <row r="326" spans="1:14" s="9" customFormat="1" ht="15.75" x14ac:dyDescent="0.25">
      <c r="A326" s="14" t="s">
        <v>175</v>
      </c>
      <c r="B326" s="2" t="s">
        <v>176</v>
      </c>
      <c r="C326" s="11">
        <v>866000</v>
      </c>
      <c r="D326" s="11">
        <v>103000</v>
      </c>
      <c r="E326" s="11" t="s">
        <v>135</v>
      </c>
      <c r="F326" s="11" t="s">
        <v>135</v>
      </c>
      <c r="G326" s="11"/>
      <c r="H326" s="22">
        <f t="shared" si="23"/>
        <v>969000</v>
      </c>
    </row>
    <row r="327" spans="1:14" s="9" customFormat="1" ht="15.75" x14ac:dyDescent="0.25">
      <c r="A327" s="14"/>
      <c r="B327" s="2" t="s">
        <v>177</v>
      </c>
      <c r="C327" s="11" t="s">
        <v>135</v>
      </c>
      <c r="D327" s="11" t="s">
        <v>135</v>
      </c>
      <c r="E327" s="11" t="s">
        <v>135</v>
      </c>
      <c r="F327" s="11" t="s">
        <v>135</v>
      </c>
      <c r="G327" s="11"/>
      <c r="H327" s="22">
        <f t="shared" si="23"/>
        <v>0</v>
      </c>
    </row>
    <row r="328" spans="1:14" s="9" customFormat="1" ht="15.75" x14ac:dyDescent="0.25">
      <c r="A328" s="14" t="s">
        <v>425</v>
      </c>
      <c r="B328" s="2" t="s">
        <v>178</v>
      </c>
      <c r="C328" s="11">
        <f>1796105-C334</f>
        <v>1696105</v>
      </c>
      <c r="D328" s="11">
        <v>1200000</v>
      </c>
      <c r="E328" s="11">
        <v>1300000</v>
      </c>
      <c r="F328" s="11">
        <v>1400000</v>
      </c>
      <c r="G328" s="11">
        <v>1500000</v>
      </c>
      <c r="H328" s="22">
        <f t="shared" si="23"/>
        <v>7096105</v>
      </c>
    </row>
    <row r="329" spans="1:14" s="9" customFormat="1" ht="15.75" x14ac:dyDescent="0.25">
      <c r="A329" s="14"/>
      <c r="B329" s="2" t="s">
        <v>179</v>
      </c>
      <c r="C329" s="11"/>
      <c r="D329" s="11"/>
      <c r="E329" s="11"/>
      <c r="F329" s="11"/>
      <c r="G329" s="11"/>
      <c r="H329" s="22">
        <f t="shared" si="23"/>
        <v>0</v>
      </c>
    </row>
    <row r="330" spans="1:14" s="9" customFormat="1" ht="15.75" x14ac:dyDescent="0.25">
      <c r="A330" s="14"/>
      <c r="B330" s="2" t="s">
        <v>180</v>
      </c>
      <c r="C330" s="11"/>
      <c r="D330" s="11"/>
      <c r="E330" s="11"/>
      <c r="F330" s="11"/>
      <c r="G330" s="11"/>
      <c r="H330" s="22">
        <f t="shared" si="23"/>
        <v>0</v>
      </c>
    </row>
    <row r="331" spans="1:14" s="9" customFormat="1" ht="15.75" x14ac:dyDescent="0.25">
      <c r="A331" s="14"/>
      <c r="B331" s="2" t="s">
        <v>181</v>
      </c>
      <c r="C331" s="11"/>
      <c r="D331" s="11"/>
      <c r="E331" s="11"/>
      <c r="F331" s="11"/>
      <c r="G331" s="11"/>
      <c r="H331" s="22">
        <f t="shared" si="23"/>
        <v>0</v>
      </c>
    </row>
    <row r="332" spans="1:14" s="9" customFormat="1" ht="15.75" x14ac:dyDescent="0.25">
      <c r="A332" s="14" t="s">
        <v>182</v>
      </c>
      <c r="B332" s="2" t="s">
        <v>183</v>
      </c>
      <c r="C332" s="11">
        <v>1007920</v>
      </c>
      <c r="D332" s="11">
        <v>500000</v>
      </c>
      <c r="E332" s="11"/>
      <c r="F332" s="11"/>
      <c r="G332" s="11"/>
      <c r="H332" s="22">
        <f t="shared" si="23"/>
        <v>1507920</v>
      </c>
    </row>
    <row r="333" spans="1:14" s="9" customFormat="1" ht="15.75" x14ac:dyDescent="0.25">
      <c r="A333" s="14" t="s">
        <v>184</v>
      </c>
      <c r="B333" s="2" t="s">
        <v>185</v>
      </c>
      <c r="C333" s="11">
        <v>656149</v>
      </c>
      <c r="D333" s="11"/>
      <c r="E333" s="11"/>
      <c r="F333" s="11"/>
      <c r="G333" s="11"/>
      <c r="H333" s="22">
        <f t="shared" si="23"/>
        <v>656149</v>
      </c>
    </row>
    <row r="334" spans="1:14" s="9" customFormat="1" ht="15.75" x14ac:dyDescent="0.25">
      <c r="A334" s="14" t="s">
        <v>429</v>
      </c>
      <c r="B334" s="2" t="s">
        <v>186</v>
      </c>
      <c r="C334" s="11">
        <v>100000</v>
      </c>
      <c r="D334" s="11">
        <v>100000</v>
      </c>
      <c r="E334" s="11">
        <v>100000</v>
      </c>
      <c r="F334" s="11">
        <v>100000</v>
      </c>
      <c r="G334" s="11">
        <v>100000</v>
      </c>
      <c r="H334" s="22">
        <f t="shared" si="23"/>
        <v>500000</v>
      </c>
    </row>
    <row r="335" spans="1:14" s="9" customFormat="1" ht="15.75" x14ac:dyDescent="0.25">
      <c r="A335" s="14"/>
      <c r="B335" s="2" t="s">
        <v>187</v>
      </c>
      <c r="C335" s="11" t="s">
        <v>135</v>
      </c>
      <c r="D335" s="11"/>
      <c r="E335" s="11"/>
      <c r="F335" s="11"/>
      <c r="G335" s="11"/>
      <c r="H335" s="22">
        <f t="shared" si="23"/>
        <v>0</v>
      </c>
    </row>
    <row r="336" spans="1:14" s="9" customFormat="1" ht="15.75" x14ac:dyDescent="0.25">
      <c r="A336" s="14"/>
      <c r="B336" s="2" t="s">
        <v>188</v>
      </c>
      <c r="C336" s="11"/>
      <c r="D336" s="11"/>
      <c r="E336" s="11"/>
      <c r="F336" s="11"/>
      <c r="G336" s="11"/>
      <c r="H336" s="22">
        <f t="shared" si="23"/>
        <v>0</v>
      </c>
    </row>
    <row r="337" spans="1:14" s="9" customFormat="1" ht="15.75" x14ac:dyDescent="0.25">
      <c r="A337" s="14"/>
      <c r="B337" s="2" t="s">
        <v>189</v>
      </c>
      <c r="C337" s="11"/>
      <c r="D337" s="11"/>
      <c r="E337" s="11">
        <v>1150000</v>
      </c>
      <c r="F337" s="11"/>
      <c r="G337" s="11"/>
      <c r="H337" s="22">
        <f t="shared" si="23"/>
        <v>1150000</v>
      </c>
    </row>
    <row r="338" spans="1:14" s="9" customFormat="1" ht="15.75" x14ac:dyDescent="0.25">
      <c r="A338" s="14" t="s">
        <v>460</v>
      </c>
      <c r="B338" s="2" t="s">
        <v>190</v>
      </c>
      <c r="C338" s="11">
        <v>697660</v>
      </c>
      <c r="D338" s="11">
        <v>3500000</v>
      </c>
      <c r="E338" s="11"/>
      <c r="F338" s="11"/>
      <c r="G338" s="11"/>
      <c r="H338" s="22">
        <f t="shared" si="23"/>
        <v>4197660</v>
      </c>
    </row>
    <row r="339" spans="1:14" s="9" customFormat="1" ht="15.75" x14ac:dyDescent="0.25">
      <c r="A339" s="14"/>
      <c r="B339" s="2" t="s">
        <v>191</v>
      </c>
      <c r="C339" s="11"/>
      <c r="D339" s="11"/>
      <c r="E339" s="11"/>
      <c r="F339" s="11">
        <v>500000</v>
      </c>
      <c r="G339" s="11">
        <v>2000000</v>
      </c>
      <c r="H339" s="22">
        <f t="shared" si="23"/>
        <v>2500000</v>
      </c>
    </row>
    <row r="340" spans="1:14" s="9" customFormat="1" ht="15.75" x14ac:dyDescent="0.25">
      <c r="A340" s="14"/>
      <c r="B340" s="2" t="s">
        <v>192</v>
      </c>
      <c r="C340" s="11"/>
      <c r="D340" s="11"/>
      <c r="E340" s="11">
        <v>400000</v>
      </c>
      <c r="F340" s="11"/>
      <c r="G340" s="11"/>
      <c r="H340" s="22">
        <f>SUM(C340:G340)</f>
        <v>400000</v>
      </c>
    </row>
    <row r="341" spans="1:14" s="9" customFormat="1" ht="15.75" x14ac:dyDescent="0.25">
      <c r="A341" s="14"/>
      <c r="B341" s="2" t="s">
        <v>193</v>
      </c>
      <c r="C341" s="11"/>
      <c r="D341" s="11"/>
      <c r="E341" s="11">
        <v>120000</v>
      </c>
      <c r="F341" s="11"/>
      <c r="G341" s="11"/>
      <c r="H341" s="22">
        <f t="shared" si="23"/>
        <v>120000</v>
      </c>
    </row>
    <row r="342" spans="1:14" s="9" customFormat="1" ht="15.75" x14ac:dyDescent="0.25">
      <c r="A342" s="14"/>
      <c r="B342" s="2" t="s">
        <v>194</v>
      </c>
      <c r="C342" s="11"/>
      <c r="D342" s="11"/>
      <c r="E342" s="11"/>
      <c r="F342" s="11">
        <v>1100000</v>
      </c>
      <c r="G342" s="11"/>
      <c r="H342" s="22">
        <f t="shared" si="23"/>
        <v>1100000</v>
      </c>
    </row>
    <row r="343" spans="1:14" s="9" customFormat="1" ht="15.75" x14ac:dyDescent="0.25">
      <c r="A343" s="14"/>
      <c r="B343" s="2" t="s">
        <v>195</v>
      </c>
      <c r="C343" s="11"/>
      <c r="D343" s="11" t="s">
        <v>135</v>
      </c>
      <c r="E343" s="11"/>
      <c r="F343" s="11" t="s">
        <v>135</v>
      </c>
      <c r="G343" s="11">
        <v>3500000</v>
      </c>
      <c r="H343" s="22">
        <f t="shared" si="23"/>
        <v>3500000</v>
      </c>
    </row>
    <row r="344" spans="1:14" s="9" customFormat="1" ht="15.75" x14ac:dyDescent="0.25">
      <c r="A344" s="14"/>
      <c r="B344" s="2" t="s">
        <v>196</v>
      </c>
      <c r="C344" s="11" t="s">
        <v>135</v>
      </c>
      <c r="D344" s="11"/>
      <c r="E344" s="11"/>
      <c r="F344" s="11"/>
      <c r="G344" s="11"/>
      <c r="H344" s="22">
        <f t="shared" si="23"/>
        <v>0</v>
      </c>
    </row>
    <row r="345" spans="1:14" s="9" customFormat="1" ht="15.75" x14ac:dyDescent="0.25">
      <c r="A345" s="14"/>
      <c r="B345" s="2" t="s">
        <v>197</v>
      </c>
      <c r="C345" s="11"/>
      <c r="D345" s="11"/>
      <c r="E345" s="11"/>
      <c r="F345" s="11"/>
      <c r="G345" s="11"/>
      <c r="H345" s="22">
        <f t="shared" si="23"/>
        <v>0</v>
      </c>
    </row>
    <row r="346" spans="1:14" s="9" customFormat="1" ht="15.75" x14ac:dyDescent="0.25">
      <c r="A346" s="43"/>
      <c r="B346" s="43" t="s">
        <v>198</v>
      </c>
      <c r="C346" s="44">
        <f t="shared" ref="C346:H346" si="26">SUM(C324:C345)</f>
        <v>10174154</v>
      </c>
      <c r="D346" s="44">
        <f t="shared" si="26"/>
        <v>10403000</v>
      </c>
      <c r="E346" s="44">
        <f t="shared" si="26"/>
        <v>8070000</v>
      </c>
      <c r="F346" s="44">
        <f t="shared" si="26"/>
        <v>8100000</v>
      </c>
      <c r="G346" s="44">
        <f t="shared" si="26"/>
        <v>11100000</v>
      </c>
      <c r="H346" s="44">
        <f t="shared" si="26"/>
        <v>47847154</v>
      </c>
      <c r="I346" s="21" t="s">
        <v>329</v>
      </c>
      <c r="K346" s="21"/>
      <c r="L346" s="21"/>
      <c r="M346" s="21"/>
      <c r="N346" s="21"/>
    </row>
    <row r="347" spans="1:14" ht="15.75" x14ac:dyDescent="0.25">
      <c r="A347" s="14"/>
      <c r="B347" s="5"/>
      <c r="C347" s="10"/>
      <c r="D347" s="10"/>
      <c r="E347" s="10"/>
      <c r="F347" s="10"/>
      <c r="G347" s="10"/>
      <c r="H347" s="4" t="s">
        <v>135</v>
      </c>
    </row>
    <row r="348" spans="1:14" ht="15.75" x14ac:dyDescent="0.25">
      <c r="A348" s="14"/>
      <c r="B348" s="12" t="s">
        <v>199</v>
      </c>
      <c r="C348" s="10"/>
      <c r="D348" s="10"/>
      <c r="E348" s="10"/>
      <c r="F348" s="10"/>
      <c r="G348" s="10"/>
      <c r="H348" s="4" t="s">
        <v>135</v>
      </c>
    </row>
    <row r="349" spans="1:14" s="9" customFormat="1" ht="15.75" x14ac:dyDescent="0.25">
      <c r="A349" s="14"/>
      <c r="B349" s="2" t="s">
        <v>200</v>
      </c>
      <c r="C349" s="11" t="s">
        <v>135</v>
      </c>
      <c r="D349" s="11" t="s">
        <v>135</v>
      </c>
      <c r="E349" s="11" t="s">
        <v>135</v>
      </c>
      <c r="F349" s="11">
        <v>2500000</v>
      </c>
      <c r="G349" s="11">
        <v>6000000</v>
      </c>
      <c r="H349" s="22">
        <f>SUM(C349:G349)</f>
        <v>8500000</v>
      </c>
    </row>
    <row r="350" spans="1:14" s="9" customFormat="1" ht="15.75" x14ac:dyDescent="0.25">
      <c r="A350" s="43"/>
      <c r="B350" s="43" t="s">
        <v>201</v>
      </c>
      <c r="C350" s="44">
        <f t="shared" ref="C350:H350" si="27">SUM(C349:C349)</f>
        <v>0</v>
      </c>
      <c r="D350" s="44">
        <f t="shared" si="27"/>
        <v>0</v>
      </c>
      <c r="E350" s="44">
        <f t="shared" si="27"/>
        <v>0</v>
      </c>
      <c r="F350" s="44">
        <f t="shared" si="27"/>
        <v>2500000</v>
      </c>
      <c r="G350" s="44">
        <f t="shared" si="27"/>
        <v>6000000</v>
      </c>
      <c r="H350" s="44">
        <f t="shared" si="27"/>
        <v>8500000</v>
      </c>
      <c r="I350" s="21" t="s">
        <v>329</v>
      </c>
      <c r="K350" s="21"/>
      <c r="L350" s="21"/>
      <c r="M350" s="21"/>
      <c r="N350" s="21"/>
    </row>
    <row r="351" spans="1:14" ht="15.75" x14ac:dyDescent="0.25">
      <c r="A351" s="14"/>
      <c r="B351" s="5"/>
      <c r="C351" s="10"/>
      <c r="D351" s="10"/>
      <c r="E351" s="10"/>
      <c r="F351" s="10"/>
      <c r="G351" s="10"/>
      <c r="H351" s="4" t="s">
        <v>135</v>
      </c>
    </row>
    <row r="352" spans="1:14" s="9" customFormat="1" ht="18" x14ac:dyDescent="0.25">
      <c r="A352" s="23"/>
      <c r="B352" s="23" t="s">
        <v>202</v>
      </c>
      <c r="C352" s="24">
        <f>+C350+C346+C321+C315+C301</f>
        <v>38556873</v>
      </c>
      <c r="D352" s="24">
        <f t="shared" ref="D352:H352" si="28">+D350+D346+D321+D315+D301</f>
        <v>39379006</v>
      </c>
      <c r="E352" s="24">
        <f t="shared" si="28"/>
        <v>25034626</v>
      </c>
      <c r="F352" s="24">
        <f t="shared" si="28"/>
        <v>28566451</v>
      </c>
      <c r="G352" s="24">
        <f t="shared" si="28"/>
        <v>36301157</v>
      </c>
      <c r="H352" s="24">
        <f t="shared" si="28"/>
        <v>167838113</v>
      </c>
      <c r="I352" s="9" t="s">
        <v>329</v>
      </c>
    </row>
    <row r="353" spans="1:8" s="9" customFormat="1" ht="15.75" x14ac:dyDescent="0.25">
      <c r="A353" s="20"/>
      <c r="B353" s="2"/>
      <c r="C353" s="11"/>
      <c r="D353" s="11"/>
      <c r="E353" s="11"/>
      <c r="F353" s="11"/>
      <c r="G353" s="11"/>
      <c r="H353" s="22"/>
    </row>
    <row r="354" spans="1:8" ht="15.75" x14ac:dyDescent="0.25">
      <c r="A354" s="14"/>
      <c r="B354" s="12" t="s">
        <v>277</v>
      </c>
      <c r="C354" s="10"/>
      <c r="D354" s="10"/>
      <c r="E354" s="10"/>
      <c r="F354" s="10"/>
      <c r="G354" s="10"/>
      <c r="H354" s="4"/>
    </row>
    <row r="355" spans="1:8" s="9" customFormat="1" ht="15.75" x14ac:dyDescent="0.25">
      <c r="A355" s="14" t="s">
        <v>219</v>
      </c>
      <c r="B355" s="2" t="s">
        <v>220</v>
      </c>
      <c r="C355" s="11"/>
      <c r="D355" s="11"/>
      <c r="E355" s="11">
        <v>5851000</v>
      </c>
      <c r="F355" s="11">
        <v>5990000</v>
      </c>
      <c r="G355" s="11">
        <v>4000000</v>
      </c>
      <c r="H355" s="22">
        <f t="shared" ref="H355:H387" si="29">SUM(C355:G355)</f>
        <v>15841000</v>
      </c>
    </row>
    <row r="356" spans="1:8" s="9" customFormat="1" ht="15.75" x14ac:dyDescent="0.25">
      <c r="A356" s="14"/>
      <c r="B356" s="2" t="s">
        <v>221</v>
      </c>
      <c r="C356" s="11"/>
      <c r="D356" s="11"/>
      <c r="E356" s="11"/>
      <c r="F356" s="11"/>
      <c r="G356" s="11"/>
      <c r="H356" s="22">
        <f t="shared" si="29"/>
        <v>0</v>
      </c>
    </row>
    <row r="357" spans="1:8" s="9" customFormat="1" ht="15.75" x14ac:dyDescent="0.25">
      <c r="A357" s="14"/>
      <c r="B357" s="2" t="s">
        <v>222</v>
      </c>
      <c r="C357" s="11"/>
      <c r="D357" s="11"/>
      <c r="E357" s="11"/>
      <c r="F357" s="11"/>
      <c r="G357" s="11"/>
      <c r="H357" s="22">
        <f t="shared" si="29"/>
        <v>0</v>
      </c>
    </row>
    <row r="358" spans="1:8" s="9" customFormat="1" ht="15.75" x14ac:dyDescent="0.25">
      <c r="A358" s="14"/>
      <c r="B358" s="2" t="s">
        <v>223</v>
      </c>
      <c r="C358" s="11"/>
      <c r="D358" s="11"/>
      <c r="E358" s="11"/>
      <c r="F358" s="11"/>
      <c r="G358" s="11"/>
      <c r="H358" s="22">
        <f t="shared" si="29"/>
        <v>0</v>
      </c>
    </row>
    <row r="359" spans="1:8" s="9" customFormat="1" ht="15.75" x14ac:dyDescent="0.25">
      <c r="A359" s="14"/>
      <c r="B359" s="2" t="s">
        <v>224</v>
      </c>
      <c r="C359" s="11"/>
      <c r="D359" s="11"/>
      <c r="E359" s="11"/>
      <c r="F359" s="11"/>
      <c r="G359" s="11"/>
      <c r="H359" s="22">
        <f t="shared" si="29"/>
        <v>0</v>
      </c>
    </row>
    <row r="360" spans="1:8" s="9" customFormat="1" ht="15.75" x14ac:dyDescent="0.25">
      <c r="A360" s="14"/>
      <c r="B360" s="2" t="s">
        <v>225</v>
      </c>
      <c r="C360" s="11"/>
      <c r="D360" s="11"/>
      <c r="E360" s="11"/>
      <c r="F360" s="11"/>
      <c r="G360" s="11"/>
      <c r="H360" s="22">
        <f t="shared" si="29"/>
        <v>0</v>
      </c>
    </row>
    <row r="361" spans="1:8" s="9" customFormat="1" ht="15.75" x14ac:dyDescent="0.25">
      <c r="A361" s="14"/>
      <c r="B361" s="2" t="s">
        <v>226</v>
      </c>
      <c r="C361" s="11"/>
      <c r="D361" s="11"/>
      <c r="E361" s="11"/>
      <c r="F361" s="11"/>
      <c r="G361" s="11"/>
      <c r="H361" s="22">
        <f t="shared" si="29"/>
        <v>0</v>
      </c>
    </row>
    <row r="362" spans="1:8" s="9" customFormat="1" ht="15.75" x14ac:dyDescent="0.25">
      <c r="A362" s="14" t="s">
        <v>433</v>
      </c>
      <c r="B362" s="2" t="s">
        <v>227</v>
      </c>
      <c r="C362" s="11">
        <v>350000</v>
      </c>
      <c r="D362" s="11"/>
      <c r="E362" s="11"/>
      <c r="F362" s="11"/>
      <c r="G362" s="11"/>
      <c r="H362" s="22">
        <f t="shared" si="29"/>
        <v>350000</v>
      </c>
    </row>
    <row r="363" spans="1:8" s="9" customFormat="1" ht="15.75" x14ac:dyDescent="0.25">
      <c r="A363" s="14" t="s">
        <v>436</v>
      </c>
      <c r="B363" s="2" t="s">
        <v>228</v>
      </c>
      <c r="C363" s="11">
        <v>100000</v>
      </c>
      <c r="D363" s="11"/>
      <c r="E363" s="11"/>
      <c r="F363" s="11"/>
      <c r="G363" s="11"/>
      <c r="H363" s="22">
        <f t="shared" si="29"/>
        <v>100000</v>
      </c>
    </row>
    <row r="364" spans="1:8" s="9" customFormat="1" ht="15.75" x14ac:dyDescent="0.25">
      <c r="A364" s="14" t="s">
        <v>435</v>
      </c>
      <c r="B364" s="2" t="s">
        <v>229</v>
      </c>
      <c r="C364" s="11">
        <v>250000</v>
      </c>
      <c r="D364" s="11"/>
      <c r="E364" s="11"/>
      <c r="F364" s="11"/>
      <c r="G364" s="11"/>
      <c r="H364" s="22">
        <f t="shared" si="29"/>
        <v>250000</v>
      </c>
    </row>
    <row r="365" spans="1:8" s="9" customFormat="1" ht="15.75" x14ac:dyDescent="0.25">
      <c r="A365" s="14" t="s">
        <v>437</v>
      </c>
      <c r="B365" s="2" t="s">
        <v>230</v>
      </c>
      <c r="C365" s="11">
        <v>100000</v>
      </c>
      <c r="D365" s="11"/>
      <c r="E365" s="11"/>
      <c r="F365" s="11"/>
      <c r="G365" s="11"/>
      <c r="H365" s="22">
        <f t="shared" si="29"/>
        <v>100000</v>
      </c>
    </row>
    <row r="366" spans="1:8" s="9" customFormat="1" ht="15.75" x14ac:dyDescent="0.25">
      <c r="A366" s="14"/>
      <c r="B366" s="2" t="s">
        <v>231</v>
      </c>
      <c r="C366" s="11"/>
      <c r="D366" s="11"/>
      <c r="E366" s="11"/>
      <c r="F366" s="11"/>
      <c r="G366" s="11"/>
      <c r="H366" s="22">
        <f t="shared" si="29"/>
        <v>0</v>
      </c>
    </row>
    <row r="367" spans="1:8" s="9" customFormat="1" ht="15.75" x14ac:dyDescent="0.25">
      <c r="A367" s="14" t="s">
        <v>449</v>
      </c>
      <c r="B367" s="2" t="s">
        <v>232</v>
      </c>
      <c r="C367" s="11">
        <v>250000</v>
      </c>
      <c r="D367" s="11"/>
      <c r="E367" s="11"/>
      <c r="F367" s="11"/>
      <c r="G367" s="11"/>
      <c r="H367" s="22">
        <f t="shared" si="29"/>
        <v>250000</v>
      </c>
    </row>
    <row r="368" spans="1:8" s="9" customFormat="1" ht="15.75" x14ac:dyDescent="0.25">
      <c r="A368" s="14"/>
      <c r="B368" s="2" t="s">
        <v>233</v>
      </c>
      <c r="C368" s="11"/>
      <c r="D368" s="11"/>
      <c r="E368" s="11"/>
      <c r="F368" s="11"/>
      <c r="G368" s="11"/>
      <c r="H368" s="22">
        <f t="shared" si="29"/>
        <v>0</v>
      </c>
    </row>
    <row r="369" spans="1:8" s="9" customFormat="1" ht="15.75" x14ac:dyDescent="0.25">
      <c r="A369" s="14" t="s">
        <v>452</v>
      </c>
      <c r="B369" s="2" t="s">
        <v>234</v>
      </c>
      <c r="C369" s="11">
        <v>150000</v>
      </c>
      <c r="D369" s="11"/>
      <c r="E369" s="11"/>
      <c r="F369" s="11"/>
      <c r="G369" s="11"/>
      <c r="H369" s="22">
        <f t="shared" si="29"/>
        <v>150000</v>
      </c>
    </row>
    <row r="370" spans="1:8" s="9" customFormat="1" ht="15.75" x14ac:dyDescent="0.25">
      <c r="A370" s="14" t="s">
        <v>453</v>
      </c>
      <c r="B370" s="2" t="s">
        <v>235</v>
      </c>
      <c r="C370" s="11">
        <v>150000</v>
      </c>
      <c r="D370" s="11"/>
      <c r="E370" s="11"/>
      <c r="F370" s="11"/>
      <c r="G370" s="11"/>
      <c r="H370" s="22">
        <f t="shared" si="29"/>
        <v>150000</v>
      </c>
    </row>
    <row r="371" spans="1:8" s="9" customFormat="1" ht="15.75" x14ac:dyDescent="0.25">
      <c r="A371" s="14" t="s">
        <v>450</v>
      </c>
      <c r="B371" s="2" t="s">
        <v>236</v>
      </c>
      <c r="C371" s="11">
        <v>100000</v>
      </c>
      <c r="D371" s="11">
        <v>150000</v>
      </c>
      <c r="E371" s="11"/>
      <c r="F371" s="11"/>
      <c r="G371" s="11"/>
      <c r="H371" s="22">
        <f t="shared" si="29"/>
        <v>250000</v>
      </c>
    </row>
    <row r="372" spans="1:8" s="9" customFormat="1" ht="15.75" x14ac:dyDescent="0.25">
      <c r="A372" s="14"/>
      <c r="B372" s="2" t="s">
        <v>237</v>
      </c>
      <c r="C372" s="11"/>
      <c r="D372" s="11">
        <v>200000</v>
      </c>
      <c r="E372" s="11"/>
      <c r="F372" s="11"/>
      <c r="G372" s="11"/>
      <c r="H372" s="22">
        <f t="shared" si="29"/>
        <v>200000</v>
      </c>
    </row>
    <row r="373" spans="1:8" s="9" customFormat="1" ht="15.75" x14ac:dyDescent="0.25">
      <c r="A373" s="14" t="s">
        <v>443</v>
      </c>
      <c r="B373" s="2" t="s">
        <v>238</v>
      </c>
      <c r="C373" s="11">
        <v>125000</v>
      </c>
      <c r="D373" s="11">
        <v>250000</v>
      </c>
      <c r="E373" s="11"/>
      <c r="F373" s="11"/>
      <c r="G373" s="11"/>
      <c r="H373" s="22">
        <f t="shared" si="29"/>
        <v>375000</v>
      </c>
    </row>
    <row r="374" spans="1:8" s="9" customFormat="1" ht="15.75" x14ac:dyDescent="0.25">
      <c r="A374" s="14" t="s">
        <v>445</v>
      </c>
      <c r="B374" s="2" t="s">
        <v>239</v>
      </c>
      <c r="C374" s="11">
        <v>200000</v>
      </c>
      <c r="D374" s="11">
        <v>100000</v>
      </c>
      <c r="E374" s="11"/>
      <c r="F374" s="11"/>
      <c r="G374" s="11"/>
      <c r="H374" s="22">
        <f t="shared" si="29"/>
        <v>300000</v>
      </c>
    </row>
    <row r="375" spans="1:8" s="9" customFormat="1" ht="15.75" x14ac:dyDescent="0.25">
      <c r="A375" s="14" t="s">
        <v>441</v>
      </c>
      <c r="B375" s="2" t="s">
        <v>442</v>
      </c>
      <c r="C375" s="11">
        <v>250000</v>
      </c>
      <c r="D375" s="11"/>
      <c r="E375" s="11"/>
      <c r="F375" s="11"/>
      <c r="G375" s="11"/>
      <c r="H375" s="22">
        <f>SUM(C375:G375)</f>
        <v>250000</v>
      </c>
    </row>
    <row r="376" spans="1:8" s="9" customFormat="1" ht="15.75" x14ac:dyDescent="0.25">
      <c r="A376" s="14" t="s">
        <v>447</v>
      </c>
      <c r="B376" s="2" t="s">
        <v>240</v>
      </c>
      <c r="C376" s="11">
        <v>250000</v>
      </c>
      <c r="D376" s="11">
        <v>250000</v>
      </c>
      <c r="E376" s="11"/>
      <c r="F376" s="11"/>
      <c r="G376" s="11"/>
      <c r="H376" s="22">
        <f t="shared" si="29"/>
        <v>500000</v>
      </c>
    </row>
    <row r="377" spans="1:8" s="9" customFormat="1" ht="15.75" x14ac:dyDescent="0.25">
      <c r="A377" s="14"/>
      <c r="B377" s="2" t="s">
        <v>241</v>
      </c>
      <c r="C377" s="11"/>
      <c r="D377" s="11">
        <v>150000</v>
      </c>
      <c r="E377" s="11"/>
      <c r="F377" s="11"/>
      <c r="G377" s="11"/>
      <c r="H377" s="22">
        <f t="shared" si="29"/>
        <v>150000</v>
      </c>
    </row>
    <row r="378" spans="1:8" s="9" customFormat="1" ht="15.75" x14ac:dyDescent="0.25">
      <c r="A378" s="14"/>
      <c r="B378" s="2" t="s">
        <v>242</v>
      </c>
      <c r="C378" s="11"/>
      <c r="D378" s="11">
        <v>200000</v>
      </c>
      <c r="E378" s="11"/>
      <c r="F378" s="11"/>
      <c r="G378" s="11"/>
      <c r="H378" s="22">
        <f t="shared" si="29"/>
        <v>200000</v>
      </c>
    </row>
    <row r="379" spans="1:8" s="9" customFormat="1" ht="15.75" x14ac:dyDescent="0.25">
      <c r="A379" s="14"/>
      <c r="B379" s="2" t="s">
        <v>243</v>
      </c>
      <c r="C379" s="11"/>
      <c r="D379" s="11">
        <v>750000</v>
      </c>
      <c r="E379" s="11"/>
      <c r="F379" s="11"/>
      <c r="G379" s="11"/>
      <c r="H379" s="22">
        <f t="shared" si="29"/>
        <v>750000</v>
      </c>
    </row>
    <row r="380" spans="1:8" s="9" customFormat="1" ht="15.75" x14ac:dyDescent="0.25">
      <c r="A380" s="14"/>
      <c r="B380" s="2" t="s">
        <v>244</v>
      </c>
      <c r="C380" s="11"/>
      <c r="D380" s="11">
        <v>2300000</v>
      </c>
      <c r="E380" s="11"/>
      <c r="F380" s="11"/>
      <c r="G380" s="11">
        <v>2500000</v>
      </c>
      <c r="H380" s="22">
        <f t="shared" si="29"/>
        <v>4800000</v>
      </c>
    </row>
    <row r="381" spans="1:8" s="9" customFormat="1" ht="15.75" x14ac:dyDescent="0.25">
      <c r="A381" s="14"/>
      <c r="B381" s="2" t="s">
        <v>226</v>
      </c>
      <c r="C381" s="11"/>
      <c r="D381" s="11">
        <v>150000</v>
      </c>
      <c r="E381" s="11"/>
      <c r="F381" s="11"/>
      <c r="G381" s="11"/>
      <c r="H381" s="22">
        <f t="shared" si="29"/>
        <v>150000</v>
      </c>
    </row>
    <row r="382" spans="1:8" s="9" customFormat="1" ht="15.75" x14ac:dyDescent="0.25">
      <c r="A382" s="14"/>
      <c r="B382" s="2" t="s">
        <v>245</v>
      </c>
      <c r="C382" s="11"/>
      <c r="D382" s="11">
        <v>200000</v>
      </c>
      <c r="E382" s="11"/>
      <c r="F382" s="11"/>
      <c r="G382" s="11"/>
      <c r="H382" s="22">
        <f t="shared" si="29"/>
        <v>200000</v>
      </c>
    </row>
    <row r="383" spans="1:8" s="9" customFormat="1" ht="15.75" x14ac:dyDescent="0.25">
      <c r="A383" s="14"/>
      <c r="B383" s="2" t="s">
        <v>246</v>
      </c>
      <c r="C383" s="11"/>
      <c r="D383" s="11">
        <v>750000</v>
      </c>
      <c r="E383" s="11"/>
      <c r="F383" s="11"/>
      <c r="G383" s="11"/>
      <c r="H383" s="22">
        <f t="shared" si="29"/>
        <v>750000</v>
      </c>
    </row>
    <row r="384" spans="1:8" s="9" customFormat="1" ht="15.75" x14ac:dyDescent="0.25">
      <c r="A384" s="14"/>
      <c r="B384" s="2" t="s">
        <v>247</v>
      </c>
      <c r="C384" s="11"/>
      <c r="D384" s="11">
        <v>500000</v>
      </c>
      <c r="E384" s="11"/>
      <c r="F384" s="11"/>
      <c r="G384" s="11"/>
      <c r="H384" s="22">
        <f t="shared" si="29"/>
        <v>500000</v>
      </c>
    </row>
    <row r="385" spans="1:14" s="9" customFormat="1" ht="15.75" x14ac:dyDescent="0.25">
      <c r="A385" s="14"/>
      <c r="B385" s="2" t="s">
        <v>248</v>
      </c>
      <c r="C385" s="11"/>
      <c r="D385" s="11">
        <v>200000</v>
      </c>
      <c r="E385" s="11"/>
      <c r="F385" s="11"/>
      <c r="G385" s="11"/>
      <c r="H385" s="22">
        <f t="shared" si="29"/>
        <v>200000</v>
      </c>
    </row>
    <row r="386" spans="1:14" s="9" customFormat="1" ht="15.75" x14ac:dyDescent="0.25">
      <c r="A386" s="14"/>
      <c r="B386" s="2" t="s">
        <v>249</v>
      </c>
      <c r="C386" s="11"/>
      <c r="D386" s="11">
        <v>150000</v>
      </c>
      <c r="E386" s="11"/>
      <c r="F386" s="11"/>
      <c r="G386" s="11"/>
      <c r="H386" s="22">
        <f t="shared" si="29"/>
        <v>150000</v>
      </c>
    </row>
    <row r="387" spans="1:14" s="9" customFormat="1" ht="15.75" x14ac:dyDescent="0.25">
      <c r="A387" s="14" t="s">
        <v>454</v>
      </c>
      <c r="B387" s="2" t="s">
        <v>250</v>
      </c>
      <c r="C387" s="11">
        <f>563038</f>
        <v>563038</v>
      </c>
      <c r="D387" s="11"/>
      <c r="E387" s="11"/>
      <c r="F387" s="11"/>
      <c r="G387" s="11"/>
      <c r="H387" s="22">
        <f t="shared" si="29"/>
        <v>563038</v>
      </c>
    </row>
    <row r="388" spans="1:14" s="9" customFormat="1" ht="15.75" x14ac:dyDescent="0.25">
      <c r="A388" s="43"/>
      <c r="B388" s="43" t="s">
        <v>278</v>
      </c>
      <c r="C388" s="44">
        <f t="shared" ref="C388:H388" si="30">SUM(C355:C387)</f>
        <v>2838038</v>
      </c>
      <c r="D388" s="44">
        <f t="shared" si="30"/>
        <v>6300000</v>
      </c>
      <c r="E388" s="44">
        <f t="shared" si="30"/>
        <v>5851000</v>
      </c>
      <c r="F388" s="44">
        <f t="shared" si="30"/>
        <v>5990000</v>
      </c>
      <c r="G388" s="44">
        <f t="shared" si="30"/>
        <v>6500000</v>
      </c>
      <c r="H388" s="44">
        <f t="shared" si="30"/>
        <v>27479038</v>
      </c>
      <c r="I388" s="21" t="s">
        <v>329</v>
      </c>
      <c r="K388" s="21"/>
      <c r="L388" s="21"/>
      <c r="M388" s="21"/>
      <c r="N388" s="21"/>
    </row>
    <row r="389" spans="1:14" s="9" customFormat="1" ht="15.75" x14ac:dyDescent="0.25">
      <c r="A389" s="14"/>
      <c r="B389" s="2"/>
      <c r="C389" s="11"/>
      <c r="D389" s="11"/>
      <c r="E389" s="11"/>
      <c r="F389" s="11"/>
      <c r="G389" s="11"/>
      <c r="H389" s="22"/>
    </row>
    <row r="390" spans="1:14" ht="15.75" x14ac:dyDescent="0.25">
      <c r="A390" s="14"/>
      <c r="B390" s="12" t="s">
        <v>279</v>
      </c>
      <c r="C390" s="10"/>
      <c r="D390" s="10"/>
      <c r="E390" s="10"/>
      <c r="F390" s="10"/>
      <c r="G390" s="10"/>
      <c r="H390" s="4"/>
    </row>
    <row r="391" spans="1:14" s="9" customFormat="1" ht="15.75" x14ac:dyDescent="0.25">
      <c r="A391" s="14"/>
      <c r="B391" s="2" t="s">
        <v>251</v>
      </c>
      <c r="C391" s="11"/>
      <c r="D391" s="11"/>
      <c r="E391" s="11"/>
      <c r="F391" s="11"/>
      <c r="G391" s="11"/>
      <c r="H391" s="22">
        <f>SUM(C391:G391)</f>
        <v>0</v>
      </c>
    </row>
    <row r="392" spans="1:14" s="9" customFormat="1" ht="15.75" x14ac:dyDescent="0.25">
      <c r="A392" s="14"/>
      <c r="B392" s="2" t="s">
        <v>252</v>
      </c>
      <c r="C392" s="11"/>
      <c r="D392" s="11"/>
      <c r="E392" s="11"/>
      <c r="F392" s="11"/>
      <c r="G392" s="11"/>
      <c r="H392" s="22">
        <f>SUM(C392:G392)</f>
        <v>0</v>
      </c>
    </row>
    <row r="393" spans="1:14" s="9" customFormat="1" ht="15.75" x14ac:dyDescent="0.25">
      <c r="A393" s="43"/>
      <c r="B393" s="43" t="s">
        <v>280</v>
      </c>
      <c r="C393" s="44">
        <v>0</v>
      </c>
      <c r="D393" s="44">
        <v>0</v>
      </c>
      <c r="E393" s="44">
        <v>0</v>
      </c>
      <c r="F393" s="44">
        <v>0</v>
      </c>
      <c r="G393" s="44">
        <v>0</v>
      </c>
      <c r="H393" s="44">
        <v>0</v>
      </c>
      <c r="I393" s="21" t="s">
        <v>329</v>
      </c>
      <c r="K393" s="21"/>
      <c r="L393" s="21"/>
      <c r="M393" s="21"/>
      <c r="N393" s="21"/>
    </row>
    <row r="394" spans="1:14" s="9" customFormat="1" ht="15.75" x14ac:dyDescent="0.25">
      <c r="A394" s="14"/>
      <c r="B394" s="2"/>
      <c r="C394" s="11"/>
      <c r="D394" s="11"/>
      <c r="E394" s="11"/>
      <c r="F394" s="11"/>
      <c r="G394" s="11"/>
      <c r="H394" s="22"/>
    </row>
    <row r="395" spans="1:14" ht="15.75" x14ac:dyDescent="0.25">
      <c r="A395" s="14"/>
      <c r="B395" s="12" t="s">
        <v>281</v>
      </c>
      <c r="C395" s="10"/>
      <c r="D395" s="10"/>
      <c r="E395" s="10"/>
      <c r="F395" s="10"/>
      <c r="G395" s="10"/>
      <c r="H395" s="4"/>
    </row>
    <row r="396" spans="1:14" s="9" customFormat="1" ht="15.75" x14ac:dyDescent="0.25">
      <c r="A396" s="14" t="s">
        <v>253</v>
      </c>
      <c r="B396" s="2" t="s">
        <v>254</v>
      </c>
      <c r="C396" s="11">
        <v>4259604</v>
      </c>
      <c r="D396" s="11">
        <v>4311805</v>
      </c>
      <c r="E396" s="11">
        <v>4370269</v>
      </c>
      <c r="F396" s="11">
        <v>4435749</v>
      </c>
      <c r="G396" s="11">
        <v>4509086</v>
      </c>
      <c r="H396" s="22">
        <f>SUM(C396:G396)</f>
        <v>21886513</v>
      </c>
    </row>
    <row r="397" spans="1:14" s="9" customFormat="1" ht="15.75" x14ac:dyDescent="0.25">
      <c r="A397" s="14" t="s">
        <v>255</v>
      </c>
      <c r="B397" s="2" t="s">
        <v>256</v>
      </c>
      <c r="C397" s="11">
        <v>796253</v>
      </c>
      <c r="D397" s="11">
        <v>721630</v>
      </c>
      <c r="E397" s="11">
        <v>739976</v>
      </c>
      <c r="F397" s="11">
        <v>760523</v>
      </c>
      <c r="G397" s="11">
        <v>783535</v>
      </c>
      <c r="H397" s="22">
        <f>SUM(C397:G397)</f>
        <v>3801917</v>
      </c>
    </row>
    <row r="398" spans="1:14" s="9" customFormat="1" ht="15.75" x14ac:dyDescent="0.25">
      <c r="A398" s="14" t="s">
        <v>257</v>
      </c>
      <c r="B398" s="2" t="s">
        <v>258</v>
      </c>
      <c r="C398" s="11">
        <v>825227</v>
      </c>
      <c r="D398" s="11">
        <v>743878</v>
      </c>
      <c r="E398" s="11">
        <v>762896</v>
      </c>
      <c r="F398" s="11">
        <v>784196</v>
      </c>
      <c r="G398" s="11">
        <v>808052</v>
      </c>
      <c r="H398" s="22">
        <f>SUM(C398:G398)</f>
        <v>3924249</v>
      </c>
    </row>
    <row r="399" spans="1:14" s="9" customFormat="1" ht="15.75" x14ac:dyDescent="0.25">
      <c r="A399" s="14" t="s">
        <v>259</v>
      </c>
      <c r="B399" s="2" t="s">
        <v>260</v>
      </c>
      <c r="C399" s="11">
        <v>1027939</v>
      </c>
      <c r="D399" s="11">
        <v>1120611</v>
      </c>
      <c r="E399" s="11">
        <v>1175712</v>
      </c>
      <c r="F399" s="11">
        <v>1232713</v>
      </c>
      <c r="G399" s="11">
        <v>1291843</v>
      </c>
      <c r="H399" s="22">
        <f>SUM(C399:G399)</f>
        <v>5848818</v>
      </c>
    </row>
    <row r="400" spans="1:14" s="9" customFormat="1" ht="15.75" x14ac:dyDescent="0.25">
      <c r="A400" s="14" t="s">
        <v>261</v>
      </c>
      <c r="B400" s="2" t="s">
        <v>262</v>
      </c>
      <c r="C400" s="11">
        <v>1027939</v>
      </c>
      <c r="D400" s="11">
        <v>1120611</v>
      </c>
      <c r="E400" s="11">
        <v>1175712</v>
      </c>
      <c r="F400" s="11">
        <v>1232713</v>
      </c>
      <c r="G400" s="11">
        <v>1291843</v>
      </c>
      <c r="H400" s="22">
        <f>SUM(C400:G400)</f>
        <v>5848818</v>
      </c>
    </row>
    <row r="401" spans="1:14" s="9" customFormat="1" ht="15.75" x14ac:dyDescent="0.25">
      <c r="A401" s="43"/>
      <c r="B401" s="43" t="s">
        <v>282</v>
      </c>
      <c r="C401" s="44">
        <f t="shared" ref="C401:H401" si="31">SUM(C396:C400)</f>
        <v>7936962</v>
      </c>
      <c r="D401" s="44">
        <f t="shared" si="31"/>
        <v>8018535</v>
      </c>
      <c r="E401" s="44">
        <f t="shared" si="31"/>
        <v>8224565</v>
      </c>
      <c r="F401" s="44">
        <f t="shared" si="31"/>
        <v>8445894</v>
      </c>
      <c r="G401" s="44">
        <f t="shared" si="31"/>
        <v>8684359</v>
      </c>
      <c r="H401" s="44">
        <f t="shared" si="31"/>
        <v>41310315</v>
      </c>
      <c r="I401" s="21" t="s">
        <v>329</v>
      </c>
      <c r="K401" s="21"/>
      <c r="L401" s="21"/>
      <c r="M401" s="21"/>
      <c r="N401" s="21"/>
    </row>
    <row r="402" spans="1:14" s="9" customFormat="1" ht="15.75" x14ac:dyDescent="0.25">
      <c r="A402" s="14"/>
      <c r="B402" s="2"/>
      <c r="C402" s="11"/>
      <c r="D402" s="11"/>
      <c r="E402" s="11"/>
      <c r="F402" s="11"/>
      <c r="G402" s="11"/>
      <c r="H402" s="22"/>
    </row>
    <row r="403" spans="1:14" ht="15.75" x14ac:dyDescent="0.25">
      <c r="A403" s="14"/>
      <c r="B403" s="12" t="s">
        <v>263</v>
      </c>
      <c r="C403" s="10"/>
      <c r="D403" s="10"/>
      <c r="E403" s="10"/>
      <c r="F403" s="10"/>
      <c r="G403" s="10"/>
      <c r="H403" s="4"/>
    </row>
    <row r="404" spans="1:14" s="9" customFormat="1" ht="15.75" x14ac:dyDescent="0.25">
      <c r="A404" s="14" t="s">
        <v>264</v>
      </c>
      <c r="B404" s="2" t="s">
        <v>265</v>
      </c>
      <c r="C404" s="11">
        <f>2475000+250000</f>
        <v>2725000</v>
      </c>
      <c r="D404" s="11">
        <v>3400000</v>
      </c>
      <c r="E404" s="11">
        <v>2950000</v>
      </c>
      <c r="F404" s="11">
        <v>3050000</v>
      </c>
      <c r="G404" s="11">
        <v>3400000</v>
      </c>
      <c r="H404" s="22">
        <f t="shared" ref="H404:H417" si="32">SUM(C404:G404)</f>
        <v>15525000</v>
      </c>
    </row>
    <row r="405" spans="1:14" s="9" customFormat="1" ht="15.75" x14ac:dyDescent="0.25">
      <c r="A405" s="14" t="s">
        <v>455</v>
      </c>
      <c r="B405" s="2" t="s">
        <v>456</v>
      </c>
      <c r="C405" s="11">
        <v>25000</v>
      </c>
      <c r="D405" s="11"/>
      <c r="E405" s="11"/>
      <c r="F405" s="11"/>
      <c r="G405" s="11"/>
      <c r="H405" s="22"/>
    </row>
    <row r="406" spans="1:14" s="9" customFormat="1" ht="15.75" x14ac:dyDescent="0.25">
      <c r="A406" s="14"/>
      <c r="B406" s="2" t="s">
        <v>266</v>
      </c>
      <c r="C406" s="11"/>
      <c r="D406" s="11"/>
      <c r="E406" s="11"/>
      <c r="F406" s="11"/>
      <c r="G406" s="11"/>
      <c r="H406" s="22">
        <f t="shared" si="32"/>
        <v>0</v>
      </c>
    </row>
    <row r="407" spans="1:14" s="9" customFormat="1" ht="15.75" x14ac:dyDescent="0.25">
      <c r="A407" s="14"/>
      <c r="B407" s="2" t="s">
        <v>267</v>
      </c>
      <c r="C407" s="11"/>
      <c r="D407" s="11"/>
      <c r="E407" s="11"/>
      <c r="F407" s="11"/>
      <c r="G407" s="11"/>
      <c r="H407" s="22">
        <f t="shared" si="32"/>
        <v>0</v>
      </c>
    </row>
    <row r="408" spans="1:14" s="9" customFormat="1" ht="15.75" x14ac:dyDescent="0.25">
      <c r="A408" s="14"/>
      <c r="B408" s="2" t="s">
        <v>268</v>
      </c>
      <c r="C408" s="11"/>
      <c r="D408" s="11"/>
      <c r="E408" s="11"/>
      <c r="F408" s="11"/>
      <c r="G408" s="11"/>
      <c r="H408" s="22">
        <f t="shared" si="32"/>
        <v>0</v>
      </c>
    </row>
    <row r="409" spans="1:14" s="9" customFormat="1" ht="15.75" x14ac:dyDescent="0.25">
      <c r="A409" s="14" t="s">
        <v>439</v>
      </c>
      <c r="B409" s="2" t="s">
        <v>269</v>
      </c>
      <c r="C409" s="11">
        <v>100000</v>
      </c>
      <c r="D409" s="11"/>
      <c r="E409" s="11"/>
      <c r="F409" s="11"/>
      <c r="G409" s="11"/>
      <c r="H409" s="22">
        <f t="shared" si="32"/>
        <v>100000</v>
      </c>
    </row>
    <row r="410" spans="1:14" s="9" customFormat="1" ht="15.75" x14ac:dyDescent="0.25">
      <c r="A410" s="14" t="s">
        <v>434</v>
      </c>
      <c r="B410" s="2" t="s">
        <v>270</v>
      </c>
      <c r="C410" s="11">
        <v>100000</v>
      </c>
      <c r="D410" s="11"/>
      <c r="E410" s="11"/>
      <c r="F410" s="11"/>
      <c r="G410" s="11"/>
      <c r="H410" s="22">
        <f t="shared" si="32"/>
        <v>100000</v>
      </c>
    </row>
    <row r="411" spans="1:14" s="9" customFormat="1" ht="15.75" x14ac:dyDescent="0.25">
      <c r="A411" s="14" t="s">
        <v>438</v>
      </c>
      <c r="B411" s="2" t="s">
        <v>271</v>
      </c>
      <c r="C411" s="11">
        <v>300000</v>
      </c>
      <c r="D411" s="11"/>
      <c r="E411" s="11"/>
      <c r="F411" s="11"/>
      <c r="G411" s="11"/>
      <c r="H411" s="22">
        <f t="shared" si="32"/>
        <v>300000</v>
      </c>
    </row>
    <row r="412" spans="1:14" s="9" customFormat="1" ht="15.75" x14ac:dyDescent="0.25">
      <c r="A412" s="14" t="s">
        <v>432</v>
      </c>
      <c r="B412" s="2" t="s">
        <v>121</v>
      </c>
      <c r="C412" s="11">
        <v>91054</v>
      </c>
      <c r="D412" s="11"/>
      <c r="E412" s="11"/>
      <c r="F412" s="11"/>
      <c r="G412" s="11"/>
      <c r="H412" s="22">
        <f t="shared" si="32"/>
        <v>91054</v>
      </c>
    </row>
    <row r="413" spans="1:14" s="9" customFormat="1" ht="15.75" x14ac:dyDescent="0.25">
      <c r="A413" s="14" t="s">
        <v>440</v>
      </c>
      <c r="B413" s="2" t="s">
        <v>444</v>
      </c>
      <c r="C413" s="11">
        <v>200000</v>
      </c>
      <c r="D413" s="11"/>
      <c r="E413" s="11"/>
      <c r="F413" s="11"/>
      <c r="G413" s="11"/>
      <c r="H413" s="22">
        <f t="shared" si="32"/>
        <v>200000</v>
      </c>
    </row>
    <row r="414" spans="1:14" s="9" customFormat="1" ht="15.75" x14ac:dyDescent="0.25">
      <c r="A414" s="14" t="s">
        <v>446</v>
      </c>
      <c r="B414" s="2" t="s">
        <v>272</v>
      </c>
      <c r="C414" s="11">
        <v>300000</v>
      </c>
      <c r="D414" s="11"/>
      <c r="E414" s="11"/>
      <c r="F414" s="11"/>
      <c r="G414" s="11"/>
      <c r="H414" s="22">
        <f t="shared" si="32"/>
        <v>300000</v>
      </c>
    </row>
    <row r="415" spans="1:14" s="9" customFormat="1" ht="15.75" x14ac:dyDescent="0.25">
      <c r="A415" s="14" t="s">
        <v>448</v>
      </c>
      <c r="B415" s="2" t="s">
        <v>273</v>
      </c>
      <c r="C415" s="11">
        <v>650000</v>
      </c>
      <c r="D415" s="11"/>
      <c r="E415" s="11"/>
      <c r="F415" s="11"/>
      <c r="G415" s="11"/>
      <c r="H415" s="22">
        <f t="shared" si="32"/>
        <v>650000</v>
      </c>
    </row>
    <row r="416" spans="1:14" s="9" customFormat="1" ht="15.75" x14ac:dyDescent="0.25">
      <c r="A416" s="14" t="s">
        <v>451</v>
      </c>
      <c r="B416" s="2" t="s">
        <v>274</v>
      </c>
      <c r="C416" s="11">
        <v>300000</v>
      </c>
      <c r="D416" s="11"/>
      <c r="E416" s="11"/>
      <c r="F416" s="11"/>
      <c r="G416" s="11"/>
      <c r="H416" s="22">
        <f t="shared" si="32"/>
        <v>300000</v>
      </c>
    </row>
    <row r="417" spans="1:14" s="9" customFormat="1" ht="15.75" x14ac:dyDescent="0.25">
      <c r="A417" s="14"/>
      <c r="B417" s="2" t="s">
        <v>275</v>
      </c>
      <c r="C417" s="11"/>
      <c r="D417" s="11"/>
      <c r="E417" s="11"/>
      <c r="F417" s="11"/>
      <c r="G417" s="11"/>
      <c r="H417" s="22">
        <f t="shared" si="32"/>
        <v>0</v>
      </c>
    </row>
    <row r="418" spans="1:14" s="9" customFormat="1" ht="15.75" x14ac:dyDescent="0.25">
      <c r="A418" s="43"/>
      <c r="B418" s="43" t="s">
        <v>276</v>
      </c>
      <c r="C418" s="44">
        <f t="shared" ref="C418:H418" si="33">SUM(C404:C417)</f>
        <v>4791054</v>
      </c>
      <c r="D418" s="44">
        <f t="shared" si="33"/>
        <v>3400000</v>
      </c>
      <c r="E418" s="44">
        <f t="shared" si="33"/>
        <v>2950000</v>
      </c>
      <c r="F418" s="44">
        <f t="shared" si="33"/>
        <v>3050000</v>
      </c>
      <c r="G418" s="44">
        <f t="shared" si="33"/>
        <v>3400000</v>
      </c>
      <c r="H418" s="44">
        <f t="shared" si="33"/>
        <v>17566054</v>
      </c>
      <c r="I418" s="21" t="s">
        <v>329</v>
      </c>
      <c r="K418" s="21"/>
      <c r="L418" s="21"/>
      <c r="M418" s="21"/>
      <c r="N418" s="21"/>
    </row>
    <row r="419" spans="1:14" s="9" customFormat="1" ht="15.75" x14ac:dyDescent="0.25">
      <c r="A419" s="14"/>
      <c r="B419" s="2"/>
      <c r="C419" s="11"/>
      <c r="D419" s="11"/>
      <c r="E419" s="11"/>
      <c r="F419" s="11"/>
      <c r="G419" s="11"/>
      <c r="H419" s="22"/>
    </row>
    <row r="420" spans="1:14" s="9" customFormat="1" ht="15.75" x14ac:dyDescent="0.25">
      <c r="A420" s="43"/>
      <c r="B420" s="43" t="s">
        <v>327</v>
      </c>
      <c r="C420" s="44">
        <v>25532636</v>
      </c>
      <c r="D420" s="44">
        <v>19938000</v>
      </c>
      <c r="E420" s="44">
        <v>2738000</v>
      </c>
      <c r="F420" s="44">
        <v>0</v>
      </c>
      <c r="G420" s="44">
        <v>0</v>
      </c>
      <c r="H420" s="44">
        <f>SUM(C420:G420)</f>
        <v>48208636</v>
      </c>
      <c r="I420" s="9" t="s">
        <v>329</v>
      </c>
    </row>
    <row r="421" spans="1:14" s="9" customFormat="1" ht="15.75" x14ac:dyDescent="0.25">
      <c r="A421" s="20"/>
      <c r="B421" s="2"/>
      <c r="C421" s="11"/>
      <c r="D421" s="11"/>
      <c r="E421" s="11"/>
      <c r="F421" s="11"/>
      <c r="G421" s="11"/>
      <c r="H421" s="22"/>
    </row>
    <row r="422" spans="1:14" s="9" customFormat="1" ht="18" x14ac:dyDescent="0.25">
      <c r="A422" s="23"/>
      <c r="B422" s="23" t="s">
        <v>283</v>
      </c>
      <c r="C422" s="24">
        <f t="shared" ref="C422:H422" si="34">C420+C418+C401+C393+C388</f>
        <v>41098690</v>
      </c>
      <c r="D422" s="24">
        <f t="shared" si="34"/>
        <v>37656535</v>
      </c>
      <c r="E422" s="24">
        <f t="shared" si="34"/>
        <v>19763565</v>
      </c>
      <c r="F422" s="24">
        <f t="shared" si="34"/>
        <v>17485894</v>
      </c>
      <c r="G422" s="24">
        <f t="shared" si="34"/>
        <v>18584359</v>
      </c>
      <c r="H422" s="24">
        <f t="shared" si="34"/>
        <v>134564043</v>
      </c>
      <c r="I422" s="9" t="s">
        <v>329</v>
      </c>
    </row>
    <row r="423" spans="1:14" s="9" customFormat="1" ht="15.75" x14ac:dyDescent="0.25">
      <c r="A423" s="20"/>
      <c r="B423" s="2"/>
      <c r="C423" s="11"/>
      <c r="D423" s="11"/>
      <c r="E423" s="11"/>
      <c r="F423" s="11"/>
      <c r="G423" s="11"/>
      <c r="H423" s="22"/>
    </row>
    <row r="424" spans="1:14" ht="15.75" x14ac:dyDescent="0.25">
      <c r="A424" s="13"/>
      <c r="B424" s="16" t="s">
        <v>214</v>
      </c>
      <c r="C424" s="11"/>
      <c r="D424" s="11"/>
      <c r="E424" s="11"/>
      <c r="F424" s="11"/>
      <c r="G424" s="11"/>
      <c r="H424" s="3"/>
    </row>
    <row r="425" spans="1:14" s="9" customFormat="1" ht="15.75" x14ac:dyDescent="0.25">
      <c r="A425" s="14" t="s">
        <v>515</v>
      </c>
      <c r="B425" s="2" t="s">
        <v>215</v>
      </c>
      <c r="C425" s="11">
        <v>100000</v>
      </c>
      <c r="D425" s="11"/>
      <c r="E425" s="11"/>
      <c r="F425" s="11"/>
      <c r="G425" s="11"/>
      <c r="H425" s="22">
        <f>SUM(C425:G425)</f>
        <v>100000</v>
      </c>
    </row>
    <row r="426" spans="1:14" s="9" customFormat="1" ht="15.75" x14ac:dyDescent="0.25">
      <c r="A426" s="14" t="s">
        <v>431</v>
      </c>
      <c r="B426" s="2" t="s">
        <v>216</v>
      </c>
      <c r="C426" s="11">
        <v>150000</v>
      </c>
      <c r="D426" s="11"/>
      <c r="E426" s="11"/>
      <c r="F426" s="11"/>
      <c r="G426" s="11"/>
      <c r="H426" s="22">
        <f>SUM(C426:G426)</f>
        <v>150000</v>
      </c>
    </row>
    <row r="427" spans="1:14" s="9" customFormat="1" ht="15.75" x14ac:dyDescent="0.25">
      <c r="A427" s="14" t="s">
        <v>430</v>
      </c>
      <c r="B427" s="2" t="s">
        <v>217</v>
      </c>
      <c r="C427" s="11">
        <v>100000</v>
      </c>
      <c r="D427" s="11"/>
      <c r="E427" s="11"/>
      <c r="F427" s="11"/>
      <c r="G427" s="11"/>
      <c r="H427" s="22">
        <f>SUM(C427:G427)</f>
        <v>100000</v>
      </c>
    </row>
    <row r="428" spans="1:14" s="9" customFormat="1" ht="18" x14ac:dyDescent="0.25">
      <c r="A428" s="23"/>
      <c r="B428" s="23" t="s">
        <v>218</v>
      </c>
      <c r="C428" s="24">
        <f t="shared" ref="C428:H428" si="35">SUM(C425:C427)</f>
        <v>350000</v>
      </c>
      <c r="D428" s="24">
        <f t="shared" si="35"/>
        <v>0</v>
      </c>
      <c r="E428" s="24">
        <f t="shared" si="35"/>
        <v>0</v>
      </c>
      <c r="F428" s="24">
        <f t="shared" si="35"/>
        <v>0</v>
      </c>
      <c r="G428" s="24">
        <f t="shared" si="35"/>
        <v>0</v>
      </c>
      <c r="H428" s="24">
        <f t="shared" si="35"/>
        <v>350000</v>
      </c>
      <c r="I428" s="9" t="s">
        <v>329</v>
      </c>
    </row>
    <row r="429" spans="1:14" s="9" customFormat="1" ht="15.75" x14ac:dyDescent="0.25">
      <c r="A429" s="20"/>
      <c r="B429" s="2"/>
      <c r="C429" s="11"/>
      <c r="D429" s="11"/>
      <c r="E429" s="11"/>
      <c r="F429" s="11"/>
      <c r="G429" s="11"/>
      <c r="H429" s="22"/>
    </row>
    <row r="430" spans="1:14" ht="15.75" x14ac:dyDescent="0.25">
      <c r="A430" s="13"/>
      <c r="B430" s="16" t="s">
        <v>212</v>
      </c>
      <c r="C430" s="11"/>
      <c r="D430" s="11"/>
      <c r="E430" s="11"/>
      <c r="F430" s="11"/>
      <c r="G430" s="11"/>
      <c r="H430" s="3"/>
      <c r="I430" s="9"/>
    </row>
    <row r="431" spans="1:14" s="9" customFormat="1" ht="15.75" x14ac:dyDescent="0.25">
      <c r="A431" s="14" t="s">
        <v>204</v>
      </c>
      <c r="B431" s="2" t="s">
        <v>205</v>
      </c>
      <c r="C431" s="11">
        <v>52500</v>
      </c>
      <c r="D431" s="11">
        <v>60500</v>
      </c>
      <c r="E431" s="11">
        <v>45500</v>
      </c>
      <c r="F431" s="11">
        <v>211500</v>
      </c>
      <c r="G431" s="11">
        <v>51500</v>
      </c>
      <c r="H431" s="22">
        <f>SUM(C431:G431)</f>
        <v>421500</v>
      </c>
    </row>
    <row r="432" spans="1:14" s="9" customFormat="1" ht="15.75" x14ac:dyDescent="0.25">
      <c r="A432" s="14" t="s">
        <v>204</v>
      </c>
      <c r="B432" s="2" t="s">
        <v>207</v>
      </c>
      <c r="C432" s="11">
        <v>40000</v>
      </c>
      <c r="D432" s="11">
        <v>40000</v>
      </c>
      <c r="E432" s="11">
        <v>40000</v>
      </c>
      <c r="F432" s="11">
        <v>40000</v>
      </c>
      <c r="G432" s="11">
        <v>40000</v>
      </c>
      <c r="H432" s="22">
        <f>SUM(C432:G432)</f>
        <v>200000</v>
      </c>
    </row>
    <row r="433" spans="1:9" s="9" customFormat="1" ht="15.75" x14ac:dyDescent="0.25">
      <c r="A433" s="14" t="s">
        <v>206</v>
      </c>
      <c r="B433" s="2" t="s">
        <v>208</v>
      </c>
      <c r="C433" s="11">
        <v>78292</v>
      </c>
      <c r="D433" s="11">
        <v>91000</v>
      </c>
      <c r="E433" s="11">
        <v>106000</v>
      </c>
      <c r="F433" s="11">
        <v>53000</v>
      </c>
      <c r="G433" s="11">
        <v>79000</v>
      </c>
      <c r="H433" s="22">
        <f>SUM(C433:G433)</f>
        <v>407292</v>
      </c>
    </row>
    <row r="434" spans="1:9" s="9" customFormat="1" ht="15.75" x14ac:dyDescent="0.25">
      <c r="A434" s="14" t="s">
        <v>209</v>
      </c>
      <c r="B434" s="2" t="s">
        <v>213</v>
      </c>
      <c r="C434" s="11">
        <v>96000</v>
      </c>
      <c r="D434" s="11">
        <v>23500</v>
      </c>
      <c r="E434" s="11">
        <v>13500</v>
      </c>
      <c r="F434" s="11">
        <v>39500</v>
      </c>
      <c r="G434" s="11">
        <v>44500</v>
      </c>
      <c r="H434" s="22">
        <f>SUM(C434:G434)</f>
        <v>217000</v>
      </c>
    </row>
    <row r="435" spans="1:9" s="9" customFormat="1" ht="15.75" x14ac:dyDescent="0.25">
      <c r="A435" s="14" t="s">
        <v>209</v>
      </c>
      <c r="B435" s="2" t="s">
        <v>210</v>
      </c>
      <c r="C435" s="11">
        <v>191212</v>
      </c>
      <c r="D435" s="11">
        <v>135000</v>
      </c>
      <c r="E435" s="11">
        <v>135000</v>
      </c>
      <c r="F435" s="11">
        <v>135000</v>
      </c>
      <c r="G435" s="11">
        <v>135000</v>
      </c>
      <c r="H435" s="22">
        <f>SUM(C435:G435)</f>
        <v>731212</v>
      </c>
    </row>
    <row r="436" spans="1:9" s="9" customFormat="1" ht="18" x14ac:dyDescent="0.25">
      <c r="A436" s="23"/>
      <c r="B436" s="23" t="s">
        <v>211</v>
      </c>
      <c r="C436" s="24">
        <f t="shared" ref="C436:H436" si="36">SUM(C431:C435)</f>
        <v>458004</v>
      </c>
      <c r="D436" s="24">
        <f t="shared" si="36"/>
        <v>350000</v>
      </c>
      <c r="E436" s="24">
        <f t="shared" si="36"/>
        <v>340000</v>
      </c>
      <c r="F436" s="24">
        <f t="shared" si="36"/>
        <v>479000</v>
      </c>
      <c r="G436" s="24">
        <f t="shared" si="36"/>
        <v>350000</v>
      </c>
      <c r="H436" s="24">
        <f t="shared" si="36"/>
        <v>1977004</v>
      </c>
      <c r="I436" s="9" t="s">
        <v>329</v>
      </c>
    </row>
    <row r="437" spans="1:9" s="9" customFormat="1" ht="15.75" x14ac:dyDescent="0.25">
      <c r="A437" s="20"/>
      <c r="B437" s="2"/>
      <c r="C437" s="11"/>
      <c r="D437" s="11"/>
      <c r="E437" s="11"/>
      <c r="F437" s="11"/>
      <c r="G437" s="11"/>
      <c r="H437" s="22"/>
    </row>
    <row r="438" spans="1:9" s="9" customFormat="1" ht="18" x14ac:dyDescent="0.25">
      <c r="A438" s="28"/>
      <c r="B438" s="28" t="s">
        <v>523</v>
      </c>
      <c r="C438" s="27">
        <f t="shared" ref="C438:H438" si="37">+C436+C428+C422+C352+C278+C223</f>
        <v>159457995</v>
      </c>
      <c r="D438" s="27">
        <f t="shared" si="37"/>
        <v>194945692</v>
      </c>
      <c r="E438" s="27">
        <f t="shared" si="37"/>
        <v>153110663</v>
      </c>
      <c r="F438" s="27">
        <f t="shared" si="37"/>
        <v>133569621</v>
      </c>
      <c r="G438" s="27">
        <f t="shared" si="37"/>
        <v>104985516</v>
      </c>
      <c r="H438" s="27">
        <f t="shared" si="37"/>
        <v>746044487</v>
      </c>
      <c r="I438" s="9" t="s">
        <v>329</v>
      </c>
    </row>
    <row r="439" spans="1:9" s="9" customFormat="1" ht="15.75" x14ac:dyDescent="0.25">
      <c r="A439" s="20"/>
      <c r="B439" s="2"/>
      <c r="C439" s="11"/>
      <c r="D439" s="11"/>
      <c r="E439" s="11"/>
      <c r="F439" s="11"/>
      <c r="G439" s="11"/>
      <c r="H439" s="22"/>
    </row>
    <row r="440" spans="1:9" s="9" customFormat="1" ht="18" x14ac:dyDescent="0.25">
      <c r="A440" s="28"/>
      <c r="B440" s="28" t="s">
        <v>328</v>
      </c>
      <c r="C440" s="27">
        <f>+C438-C420</f>
        <v>133925359</v>
      </c>
      <c r="D440" s="27">
        <f t="shared" ref="D440:H440" si="38">+D438-D420</f>
        <v>175007692</v>
      </c>
      <c r="E440" s="27">
        <f t="shared" si="38"/>
        <v>150372663</v>
      </c>
      <c r="F440" s="27">
        <f t="shared" si="38"/>
        <v>133569621</v>
      </c>
      <c r="G440" s="27">
        <f t="shared" si="38"/>
        <v>104985516</v>
      </c>
      <c r="H440" s="27">
        <f t="shared" si="38"/>
        <v>697835851</v>
      </c>
      <c r="I440" s="9" t="s">
        <v>329</v>
      </c>
    </row>
    <row r="444" spans="1:9" x14ac:dyDescent="0.2">
      <c r="C444" s="47"/>
    </row>
  </sheetData>
  <phoneticPr fontId="4" type="noConversion"/>
  <printOptions horizontalCentered="1"/>
  <pageMargins left="0" right="0" top="0.5" bottom="0.25" header="0.25" footer="0.25"/>
  <pageSetup scale="5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5-Year Capital</vt:lpstr>
      <vt:lpstr>'5-Year Capital'!Print_Area</vt:lpstr>
      <vt:lpstr>'5-Year Capital'!Print_Titles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2013-08-13T17:03:46Z</dcterms:created>
  <dcterms:modified xsi:type="dcterms:W3CDTF">2013-08-13T17:03:54Z</dcterms:modified>
</cp:coreProperties>
</file>