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checkCompatibility="1" defaultThemeVersion="124226"/>
  <bookViews>
    <workbookView xWindow="-15" yWindow="765" windowWidth="9615" windowHeight="3255" tabRatio="671"/>
  </bookViews>
  <sheets>
    <sheet name="2012-2016 Update" sheetId="11" r:id="rId1"/>
  </sheets>
  <definedNames>
    <definedName name="_Fill" hidden="1">#REF!</definedName>
    <definedName name="_xlnm._FilterDatabase" localSheetId="0" hidden="1">'2012-2016 Update'!$A$3:$L$646</definedName>
    <definedName name="_xlnm._FilterDatabase" hidden="1">#REF!</definedName>
    <definedName name="_Order1" hidden="1">0</definedName>
    <definedName name="_xlnm.Print_Area" localSheetId="0">'2012-2016 Update'!$A$4:$H$646</definedName>
    <definedName name="_xlnm.Print_Titles" localSheetId="0">'2012-2016 Update'!$1:$3</definedName>
  </definedNames>
  <calcPr calcId="145621" concurrentCalc="0"/>
</workbook>
</file>

<file path=xl/calcChain.xml><?xml version="1.0" encoding="utf-8"?>
<calcChain xmlns="http://schemas.openxmlformats.org/spreadsheetml/2006/main">
  <c r="H643" i="11" l="1"/>
  <c r="G643" i="11"/>
  <c r="F643" i="11"/>
  <c r="E643" i="11"/>
  <c r="D643" i="11"/>
  <c r="C643" i="11"/>
  <c r="H590" i="11"/>
  <c r="G590" i="11"/>
  <c r="F590" i="11"/>
  <c r="E590" i="11"/>
  <c r="D590" i="11"/>
  <c r="C590" i="11"/>
  <c r="H5" i="11"/>
  <c r="H6" i="11"/>
  <c r="H7" i="11"/>
  <c r="H8" i="11"/>
  <c r="H9" i="11"/>
  <c r="H10" i="11"/>
  <c r="H41" i="11"/>
  <c r="H50" i="11"/>
  <c r="H51" i="11"/>
  <c r="H52" i="11"/>
  <c r="H59" i="11"/>
  <c r="H60" i="11"/>
  <c r="H61" i="11"/>
  <c r="H54" i="11"/>
  <c r="H55" i="11"/>
  <c r="H56" i="11"/>
  <c r="H57" i="11"/>
  <c r="H88" i="11"/>
  <c r="H89" i="11"/>
  <c r="H86" i="11"/>
  <c r="H105" i="11"/>
  <c r="H111" i="11"/>
  <c r="H112" i="11"/>
  <c r="H115" i="11"/>
  <c r="H116" i="11"/>
  <c r="H124" i="11"/>
  <c r="H125" i="11"/>
  <c r="H126" i="11"/>
  <c r="H127" i="11"/>
  <c r="H129" i="11"/>
  <c r="H130" i="11"/>
  <c r="H131" i="11"/>
  <c r="H132" i="11"/>
  <c r="H145" i="11"/>
  <c r="H149" i="11"/>
  <c r="H151" i="11"/>
  <c r="H154" i="11"/>
  <c r="H157" i="11"/>
  <c r="H161" i="11"/>
  <c r="H162" i="11"/>
  <c r="H167" i="11"/>
  <c r="H175" i="11"/>
  <c r="H179" i="11"/>
  <c r="H180" i="11"/>
  <c r="H181" i="11"/>
  <c r="H182" i="11"/>
  <c r="H183" i="11"/>
  <c r="H184" i="11"/>
  <c r="H185" i="11"/>
  <c r="C593" i="11"/>
  <c r="G642" i="11"/>
  <c r="F642" i="11"/>
  <c r="E642" i="11"/>
  <c r="D642" i="11"/>
  <c r="C642" i="11"/>
  <c r="G641" i="11"/>
  <c r="F641" i="11"/>
  <c r="E641" i="11"/>
  <c r="D641" i="11"/>
  <c r="C641" i="11"/>
  <c r="H277" i="11"/>
  <c r="H278" i="11"/>
  <c r="H279" i="11"/>
  <c r="H280" i="11"/>
  <c r="H281" i="11"/>
  <c r="H282" i="11"/>
  <c r="H283" i="11"/>
  <c r="H274" i="11"/>
  <c r="H273" i="11"/>
  <c r="H272" i="11"/>
  <c r="H269" i="11"/>
  <c r="G627" i="11"/>
  <c r="F627" i="11"/>
  <c r="E627" i="11"/>
  <c r="D627" i="11"/>
  <c r="D639" i="11"/>
  <c r="C639" i="11"/>
  <c r="H628" i="11"/>
  <c r="H642" i="11"/>
  <c r="H641" i="11"/>
  <c r="G406" i="11"/>
  <c r="F406" i="11"/>
  <c r="E406" i="11"/>
  <c r="D406" i="11"/>
  <c r="H479" i="11"/>
  <c r="H73" i="11"/>
  <c r="H155" i="11"/>
  <c r="H117" i="11"/>
  <c r="D85" i="11"/>
  <c r="H74" i="11"/>
  <c r="H178" i="11"/>
  <c r="H170" i="11"/>
  <c r="H169" i="11"/>
  <c r="H177" i="11"/>
  <c r="H27" i="11"/>
  <c r="H585" i="11"/>
  <c r="C586" i="11"/>
  <c r="H541" i="11"/>
  <c r="H584" i="11"/>
  <c r="C624" i="11"/>
  <c r="C623" i="11"/>
  <c r="H225" i="11"/>
  <c r="C223" i="11"/>
  <c r="C271" i="11"/>
  <c r="H271" i="11"/>
  <c r="C270" i="11"/>
  <c r="H270" i="11"/>
  <c r="C267" i="11"/>
  <c r="C266" i="11"/>
  <c r="C290" i="11"/>
  <c r="C394" i="11"/>
  <c r="C393" i="11"/>
  <c r="C382" i="11"/>
  <c r="C381" i="11"/>
  <c r="C397" i="11"/>
  <c r="C389" i="11"/>
  <c r="C388" i="11"/>
  <c r="C380" i="11"/>
  <c r="C390" i="11"/>
  <c r="C378" i="11"/>
  <c r="C392" i="11"/>
  <c r="C374" i="11"/>
  <c r="C186" i="11"/>
  <c r="C123" i="11"/>
  <c r="C188" i="11"/>
  <c r="C187" i="11"/>
  <c r="C138" i="11"/>
  <c r="C163" i="11"/>
  <c r="C119" i="11"/>
  <c r="C64" i="11"/>
  <c r="C80" i="11"/>
  <c r="C37" i="11"/>
  <c r="C171" i="11"/>
  <c r="C217" i="11"/>
  <c r="C213" i="11"/>
  <c r="C212" i="11"/>
  <c r="C211" i="11"/>
  <c r="C176" i="11"/>
  <c r="C209" i="11"/>
  <c r="C203" i="11"/>
  <c r="C208" i="11"/>
  <c r="C207" i="11"/>
  <c r="C440" i="11"/>
  <c r="C442" i="11"/>
  <c r="C471" i="11"/>
  <c r="C446" i="11"/>
  <c r="C445" i="11"/>
  <c r="C444" i="11"/>
  <c r="C443" i="11"/>
  <c r="C339" i="11"/>
  <c r="C320" i="11"/>
  <c r="C406" i="11"/>
  <c r="H406" i="11"/>
  <c r="C463" i="11"/>
  <c r="H304" i="11"/>
  <c r="C633" i="11"/>
  <c r="H633" i="11"/>
  <c r="G629" i="11"/>
  <c r="C629" i="11"/>
  <c r="E629" i="11"/>
  <c r="D629" i="11"/>
  <c r="H627" i="11"/>
  <c r="G625" i="11"/>
  <c r="F625" i="11"/>
  <c r="E625" i="11"/>
  <c r="D625" i="11"/>
  <c r="C625" i="11"/>
  <c r="H624" i="11"/>
  <c r="H623" i="11"/>
  <c r="H604" i="11"/>
  <c r="H606" i="11"/>
  <c r="H605" i="11"/>
  <c r="H608" i="11"/>
  <c r="H621" i="11"/>
  <c r="H607" i="11"/>
  <c r="H619" i="11"/>
  <c r="H620" i="11"/>
  <c r="H622" i="11"/>
  <c r="G601" i="11"/>
  <c r="F601" i="11"/>
  <c r="E601" i="11"/>
  <c r="D601" i="11"/>
  <c r="C601" i="11"/>
  <c r="H600" i="11"/>
  <c r="H599" i="11"/>
  <c r="H598" i="11"/>
  <c r="H597" i="11"/>
  <c r="H595" i="11"/>
  <c r="H594" i="11"/>
  <c r="H593" i="11"/>
  <c r="H639" i="11"/>
  <c r="G588" i="11"/>
  <c r="C588" i="11"/>
  <c r="H587" i="11"/>
  <c r="H586" i="11"/>
  <c r="F583" i="11"/>
  <c r="F588" i="11"/>
  <c r="E583" i="11"/>
  <c r="E588" i="11"/>
  <c r="D583" i="11"/>
  <c r="H582" i="11"/>
  <c r="H581" i="11"/>
  <c r="H580" i="11"/>
  <c r="H579" i="11"/>
  <c r="H578" i="11"/>
  <c r="H577" i="11"/>
  <c r="H576" i="11"/>
  <c r="G573" i="11"/>
  <c r="F573" i="11"/>
  <c r="E573" i="11"/>
  <c r="D573" i="11"/>
  <c r="C573" i="11"/>
  <c r="H572" i="11"/>
  <c r="H571" i="11"/>
  <c r="H570" i="11"/>
  <c r="H569" i="11"/>
  <c r="H568" i="11"/>
  <c r="G565" i="11"/>
  <c r="F565" i="11"/>
  <c r="E565" i="11"/>
  <c r="H564" i="11"/>
  <c r="D563" i="11"/>
  <c r="D565" i="11"/>
  <c r="C565" i="11"/>
  <c r="H559" i="11"/>
  <c r="G556" i="11"/>
  <c r="F556" i="11"/>
  <c r="E556" i="11"/>
  <c r="D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0" i="11"/>
  <c r="G488" i="11"/>
  <c r="F488" i="11"/>
  <c r="E488" i="11"/>
  <c r="D488" i="11"/>
  <c r="C488" i="11"/>
  <c r="H487" i="11"/>
  <c r="H486" i="11"/>
  <c r="G484" i="11"/>
  <c r="F484" i="11"/>
  <c r="E484" i="11"/>
  <c r="D484" i="11"/>
  <c r="C484" i="11"/>
  <c r="H483" i="11"/>
  <c r="H482" i="11"/>
  <c r="H481" i="11"/>
  <c r="H480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G463" i="11"/>
  <c r="F463" i="11"/>
  <c r="E463" i="11"/>
  <c r="D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G433" i="11"/>
  <c r="F433" i="11"/>
  <c r="E433" i="11"/>
  <c r="D433" i="11"/>
  <c r="C433" i="11"/>
  <c r="H432" i="11"/>
  <c r="H431" i="11"/>
  <c r="H430" i="11"/>
  <c r="H429" i="11"/>
  <c r="H428" i="11"/>
  <c r="H427" i="11"/>
  <c r="H426" i="11"/>
  <c r="H425" i="11"/>
  <c r="H424" i="11"/>
  <c r="H423" i="11"/>
  <c r="H422" i="11"/>
  <c r="H420" i="11"/>
  <c r="H419" i="11"/>
  <c r="H418" i="11"/>
  <c r="H417" i="11"/>
  <c r="H416" i="11"/>
  <c r="H415" i="11"/>
  <c r="H414" i="11"/>
  <c r="H413" i="11"/>
  <c r="H412" i="11"/>
  <c r="H411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G370" i="11"/>
  <c r="F370" i="11"/>
  <c r="E370" i="11"/>
  <c r="D370" i="11"/>
  <c r="C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G340" i="11"/>
  <c r="F340" i="11"/>
  <c r="E340" i="11"/>
  <c r="D340" i="11"/>
  <c r="C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G315" i="11"/>
  <c r="F315" i="11"/>
  <c r="E315" i="11"/>
  <c r="D315" i="11"/>
  <c r="C315" i="11"/>
  <c r="H314" i="11"/>
  <c r="H313" i="11"/>
  <c r="H312" i="11"/>
  <c r="H311" i="11"/>
  <c r="H310" i="11"/>
  <c r="H309" i="11"/>
  <c r="H308" i="11"/>
  <c r="H307" i="11"/>
  <c r="H306" i="11"/>
  <c r="H305" i="11"/>
  <c r="H303" i="11"/>
  <c r="H302" i="11"/>
  <c r="H301" i="11"/>
  <c r="H300" i="11"/>
  <c r="H291" i="11"/>
  <c r="H290" i="11"/>
  <c r="H289" i="11"/>
  <c r="G284" i="11"/>
  <c r="F284" i="11"/>
  <c r="E284" i="11"/>
  <c r="D284" i="11"/>
  <c r="C284" i="11"/>
  <c r="G275" i="11"/>
  <c r="F275" i="11"/>
  <c r="E275" i="11"/>
  <c r="D275" i="11"/>
  <c r="C275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4" i="11"/>
  <c r="H223" i="11"/>
  <c r="G218" i="11"/>
  <c r="F218" i="11"/>
  <c r="E218" i="11"/>
  <c r="D218" i="11"/>
  <c r="C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76" i="11"/>
  <c r="G172" i="11"/>
  <c r="F172" i="11"/>
  <c r="E172" i="11"/>
  <c r="D172" i="11"/>
  <c r="C172" i="11"/>
  <c r="H171" i="11"/>
  <c r="G164" i="11"/>
  <c r="F164" i="11"/>
  <c r="E164" i="11"/>
  <c r="D164" i="11"/>
  <c r="C164" i="11"/>
  <c r="H163" i="11"/>
  <c r="H160" i="11"/>
  <c r="H159" i="11"/>
  <c r="H158" i="11"/>
  <c r="H156" i="11"/>
  <c r="H153" i="11"/>
  <c r="H152" i="11"/>
  <c r="H150" i="11"/>
  <c r="H148" i="11"/>
  <c r="H147" i="11"/>
  <c r="H146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28" i="11"/>
  <c r="H123" i="11"/>
  <c r="G120" i="11"/>
  <c r="F120" i="11"/>
  <c r="E120" i="11"/>
  <c r="C120" i="11"/>
  <c r="H119" i="11"/>
  <c r="H118" i="11"/>
  <c r="H114" i="11"/>
  <c r="D113" i="11"/>
  <c r="H113" i="11"/>
  <c r="H110" i="11"/>
  <c r="H109" i="11"/>
  <c r="H108" i="11"/>
  <c r="H107" i="11"/>
  <c r="D106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7" i="11"/>
  <c r="H85" i="11"/>
  <c r="G82" i="11"/>
  <c r="F82" i="11"/>
  <c r="E82" i="11"/>
  <c r="D82" i="11"/>
  <c r="C82" i="11"/>
  <c r="H81" i="11"/>
  <c r="H80" i="11"/>
  <c r="H79" i="11"/>
  <c r="H78" i="11"/>
  <c r="H77" i="11"/>
  <c r="H76" i="11"/>
  <c r="H75" i="11"/>
  <c r="H72" i="11"/>
  <c r="H71" i="11"/>
  <c r="H70" i="11"/>
  <c r="H69" i="11"/>
  <c r="H68" i="11"/>
  <c r="H67" i="11"/>
  <c r="H66" i="11"/>
  <c r="H65" i="11"/>
  <c r="H64" i="11"/>
  <c r="H63" i="11"/>
  <c r="H62" i="11"/>
  <c r="H58" i="11"/>
  <c r="H53" i="11"/>
  <c r="H49" i="11"/>
  <c r="H48" i="11"/>
  <c r="H47" i="11"/>
  <c r="H46" i="11"/>
  <c r="H45" i="11"/>
  <c r="H44" i="11"/>
  <c r="H43" i="11"/>
  <c r="H42" i="11"/>
  <c r="G38" i="11"/>
  <c r="F38" i="11"/>
  <c r="E38" i="11"/>
  <c r="D38" i="11"/>
  <c r="C38" i="11"/>
  <c r="H37" i="11"/>
  <c r="H36" i="11"/>
  <c r="H35" i="11"/>
  <c r="H34" i="11"/>
  <c r="H33" i="11"/>
  <c r="H32" i="11"/>
  <c r="H31" i="11"/>
  <c r="H30" i="11"/>
  <c r="H29" i="11"/>
  <c r="H28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C286" i="11"/>
  <c r="H275" i="11"/>
  <c r="H284" i="11"/>
  <c r="D286" i="11"/>
  <c r="F492" i="11"/>
  <c r="H463" i="11"/>
  <c r="E408" i="11"/>
  <c r="D492" i="11"/>
  <c r="F629" i="11"/>
  <c r="H629" i="11"/>
  <c r="E492" i="11"/>
  <c r="H164" i="11"/>
  <c r="H172" i="11"/>
  <c r="H625" i="11"/>
  <c r="D120" i="11"/>
  <c r="H601" i="11"/>
  <c r="F286" i="11"/>
  <c r="G408" i="11"/>
  <c r="H488" i="11"/>
  <c r="H583" i="11"/>
  <c r="H38" i="11"/>
  <c r="H565" i="11"/>
  <c r="H218" i="11"/>
  <c r="E220" i="11"/>
  <c r="E286" i="11"/>
  <c r="D408" i="11"/>
  <c r="C556" i="11"/>
  <c r="H562" i="11"/>
  <c r="D588" i="11"/>
  <c r="F220" i="11"/>
  <c r="H370" i="11"/>
  <c r="H433" i="11"/>
  <c r="H484" i="11"/>
  <c r="C492" i="11"/>
  <c r="G492" i="11"/>
  <c r="H106" i="11"/>
  <c r="C220" i="11"/>
  <c r="C317" i="11"/>
  <c r="G220" i="11"/>
  <c r="G286" i="11"/>
  <c r="F408" i="11"/>
  <c r="H563" i="11"/>
  <c r="H82" i="11"/>
  <c r="H340" i="11"/>
  <c r="C408" i="11"/>
  <c r="H573" i="11"/>
  <c r="H315" i="11"/>
  <c r="F317" i="11"/>
  <c r="G317" i="11"/>
  <c r="G631" i="11"/>
  <c r="G646" i="11"/>
  <c r="E317" i="11"/>
  <c r="H588" i="11"/>
  <c r="D220" i="11"/>
  <c r="H120" i="11"/>
  <c r="H408" i="11"/>
  <c r="F631" i="11"/>
  <c r="F646" i="11"/>
  <c r="E631" i="11"/>
  <c r="H286" i="11"/>
  <c r="H556" i="11"/>
  <c r="H492" i="11"/>
  <c r="H220" i="11"/>
  <c r="H317" i="11"/>
  <c r="D317" i="11"/>
  <c r="D631" i="11"/>
  <c r="E646" i="11"/>
  <c r="C631" i="11"/>
  <c r="C646" i="11"/>
  <c r="G632" i="11"/>
  <c r="G634" i="11"/>
  <c r="D646" i="11"/>
  <c r="F632" i="11"/>
  <c r="F634" i="11"/>
  <c r="D632" i="11"/>
  <c r="D634" i="11"/>
  <c r="E632" i="11"/>
  <c r="E634" i="11"/>
  <c r="H631" i="11"/>
  <c r="H646" i="11"/>
  <c r="C632" i="11"/>
  <c r="C634" i="11"/>
  <c r="H634" i="11"/>
  <c r="H632" i="11"/>
</calcChain>
</file>

<file path=xl/sharedStrings.xml><?xml version="1.0" encoding="utf-8"?>
<sst xmlns="http://schemas.openxmlformats.org/spreadsheetml/2006/main" count="1012" uniqueCount="955">
  <si>
    <t>Big Bend Outage - Unit #1</t>
  </si>
  <si>
    <t>Big Bend Outage - Unit #2</t>
  </si>
  <si>
    <t>Big Bend Outage - Unit #3</t>
  </si>
  <si>
    <t>Big Bend Outage - Unit #4</t>
  </si>
  <si>
    <t>PA Fan Replacement</t>
  </si>
  <si>
    <t>Precip Airlock Replacement</t>
  </si>
  <si>
    <t>Primary SH</t>
  </si>
  <si>
    <t>Seal Air Fans</t>
  </si>
  <si>
    <t>WW Platens</t>
  </si>
  <si>
    <t>Arc Flash Remediation</t>
  </si>
  <si>
    <t>Circulating Water Pumps</t>
  </si>
  <si>
    <t>Duct Replacements</t>
  </si>
  <si>
    <t>EH3 Replacement</t>
  </si>
  <si>
    <t>Furnace Upper WW</t>
  </si>
  <si>
    <t>Furnace Weld Overlay</t>
  </si>
  <si>
    <t>Hot Air Expansion Joints</t>
  </si>
  <si>
    <t>Sootblower system Replacement</t>
  </si>
  <si>
    <t>BFP Turbine/Element/Casing</t>
  </si>
  <si>
    <t>Coal Crushers w/ motors</t>
  </si>
  <si>
    <t>Coal Piping</t>
  </si>
  <si>
    <t>CRH Inlet Header</t>
  </si>
  <si>
    <t>DA Tank Replacement</t>
  </si>
  <si>
    <t>Economizer w/ Header</t>
  </si>
  <si>
    <t>EH1 Replacement</t>
  </si>
  <si>
    <t>EH5 Replacement</t>
  </si>
  <si>
    <t>EH6 Replacement</t>
  </si>
  <si>
    <t>Generator Rewind</t>
  </si>
  <si>
    <t>HTSH w/ Outlet Header</t>
  </si>
  <si>
    <t>BFP Element</t>
  </si>
  <si>
    <t>EH7 Replacement</t>
  </si>
  <si>
    <t>Finishing RH</t>
  </si>
  <si>
    <t>Finishing SH</t>
  </si>
  <si>
    <t>Furnace Lower WW</t>
  </si>
  <si>
    <t>PA Fan Wheels</t>
  </si>
  <si>
    <t>Dry Stack Shell Dismantlement</t>
  </si>
  <si>
    <t>Arc Flash / Misc. Electrical Upgrades</t>
  </si>
  <si>
    <t>Misc. Roof Replacements</t>
  </si>
  <si>
    <t>Reverse Osmosis System Upgrades</t>
  </si>
  <si>
    <t>Air heater rotor and element replacement</t>
  </si>
  <si>
    <t>Furnace Floor / Refractory</t>
  </si>
  <si>
    <t>APH Baskets / Seals</t>
  </si>
  <si>
    <t xml:space="preserve">EH3 Repl.     </t>
  </si>
  <si>
    <t>BFP Internal Element Repl</t>
  </si>
  <si>
    <t>Coal Nozzle replacement</t>
  </si>
  <si>
    <t>Slag Tanks Necks / Refractory  Replacement</t>
  </si>
  <si>
    <t>Burner Assembly / Coal Nozzle Replacement</t>
  </si>
  <si>
    <t>HRS Header Partial Replacement</t>
  </si>
  <si>
    <t>BB4 Precipitator Overhaul</t>
  </si>
  <si>
    <t>Radiant RH Replacement</t>
  </si>
  <si>
    <t>Blowdown Tank Replacement</t>
  </si>
  <si>
    <t>Boiler Furnace Floor/Refractory Replacement</t>
  </si>
  <si>
    <t>Generator Rewind with Retaining Rings</t>
  </si>
  <si>
    <t>Pulverizer Overhauls</t>
  </si>
  <si>
    <t>Stack Lining / Repair leaning liner</t>
  </si>
  <si>
    <t>Exciter Rewind</t>
  </si>
  <si>
    <t>Air removal pump replacement</t>
  </si>
  <si>
    <t>Primary RH</t>
  </si>
  <si>
    <t>Flash Tank Replacement</t>
  </si>
  <si>
    <t>Blankets</t>
  </si>
  <si>
    <t>Cold Air Expansion Joint</t>
  </si>
  <si>
    <t>Mill Liners</t>
  </si>
  <si>
    <t>HTRH Replacement</t>
  </si>
  <si>
    <t>Bunker Liners</t>
  </si>
  <si>
    <t>Feedwater Piping Replacement</t>
  </si>
  <si>
    <t>Demineralizer Resin Replacement</t>
  </si>
  <si>
    <t>Polisher Resin Replacement</t>
  </si>
  <si>
    <t>Low Temp Superheater</t>
  </si>
  <si>
    <t>Polisher Acid/Caustic Tanks</t>
  </si>
  <si>
    <t>Reverse Osmosis Membranes</t>
  </si>
  <si>
    <t>FD/ID Fan LCI Controls</t>
  </si>
  <si>
    <t>Economizer Ash Ponds / LTFA Pond</t>
  </si>
  <si>
    <t>HTSH DMW Replacement</t>
  </si>
  <si>
    <t>Alarm Management</t>
  </si>
  <si>
    <t>Big Bend Outage - FGD</t>
  </si>
  <si>
    <t>Big Bend Non-Outage Projects</t>
  </si>
  <si>
    <t>Total BB Outage - Unit #1</t>
  </si>
  <si>
    <t>Total BB Outage - Unit #2</t>
  </si>
  <si>
    <t>Total BB Outage - Unit #3</t>
  </si>
  <si>
    <t>Total BB Outage - Unit #4</t>
  </si>
  <si>
    <t>Total BB Outage - FGD</t>
  </si>
  <si>
    <t>Total BB Non-Outage Projects</t>
  </si>
  <si>
    <t>Bayside Outage - Unit #1</t>
  </si>
  <si>
    <t xml:space="preserve"> </t>
  </si>
  <si>
    <t>G5501</t>
  </si>
  <si>
    <t>Unit 1 HP/IP/LP Steam Turbine ring &amp; seal repl</t>
  </si>
  <si>
    <t>1A,1B,1C Inlet Filter repl.</t>
  </si>
  <si>
    <t>Silencer Repl. 1A, 1B, 1C ( IP only )</t>
  </si>
  <si>
    <t>Silencer Repl. 1A, 1B, 1C ( MS only )</t>
  </si>
  <si>
    <t>1A, B, C HR Attemp. Upgrade</t>
  </si>
  <si>
    <t>1A, B, C HP FD water control valve upgrade</t>
  </si>
  <si>
    <t>1A, B, C FAC material upgrade</t>
  </si>
  <si>
    <t>1A, B, C pipe support &amp; structure</t>
  </si>
  <si>
    <t>1A, B, C HR pipe penetration seals</t>
  </si>
  <si>
    <t>1A, B, C Blow down tank repl.</t>
  </si>
  <si>
    <t>Bayside Outage - Unit #2</t>
  </si>
  <si>
    <t>Silencer Repl. Hot Reheat only 2C, 2B</t>
  </si>
  <si>
    <t>Silencer Repl. Hot Reheat only 2D, 2A</t>
  </si>
  <si>
    <t>ST2 Voltage Regulator upgd</t>
  </si>
  <si>
    <t>Silencer Repl. 2A, 2B, 2C, 2D ( IP only )</t>
  </si>
  <si>
    <t>GE Compressor repl unit 2</t>
  </si>
  <si>
    <t>G6201</t>
  </si>
  <si>
    <t>G6701</t>
  </si>
  <si>
    <t>Steam Turbine Cooling Tower Repl.</t>
  </si>
  <si>
    <t>G6801</t>
  </si>
  <si>
    <t>GSU Repl. Unit 2</t>
  </si>
  <si>
    <t>GSU Repl. Unit 1</t>
  </si>
  <si>
    <t>Battery Set unit #2</t>
  </si>
  <si>
    <t>Transformer Repl. Reserve 3</t>
  </si>
  <si>
    <t>A6903</t>
  </si>
  <si>
    <t>A6900</t>
  </si>
  <si>
    <t>I9900</t>
  </si>
  <si>
    <t>Total Environmental, Health &amp; Safety</t>
  </si>
  <si>
    <t>Environmental, Health &amp; Safety</t>
  </si>
  <si>
    <t>Planning, Engineering &amp; Construciton</t>
  </si>
  <si>
    <t>MCS Building Renovations</t>
  </si>
  <si>
    <t>Boiler &amp; Boiler Piping Management System</t>
  </si>
  <si>
    <t>Capital Program Support</t>
  </si>
  <si>
    <t>Total Planning, Engineering &amp; Construciton</t>
  </si>
  <si>
    <t>Maintenance/Reliability Outages</t>
  </si>
  <si>
    <t>Lockhopper Valve</t>
  </si>
  <si>
    <t>Emergency Elevator Addition</t>
  </si>
  <si>
    <t>SAP Heat Exchanger</t>
  </si>
  <si>
    <t>Brine Heat Exchanger</t>
  </si>
  <si>
    <t>SAP SO2 Stripper</t>
  </si>
  <si>
    <t>Syngas Block Valve</t>
  </si>
  <si>
    <t>Gasifier skin T/C's</t>
  </si>
  <si>
    <t>SAP Preheater</t>
  </si>
  <si>
    <t>Gasifer Brick Replacement</t>
  </si>
  <si>
    <t>A&amp;B Mill End Liners</t>
  </si>
  <si>
    <t>Run Tank Liner Replacement</t>
  </si>
  <si>
    <t>GOX Rotor replacement</t>
  </si>
  <si>
    <t>Misc Other Projects</t>
  </si>
  <si>
    <t>H4788</t>
  </si>
  <si>
    <t>Polk LTSA - Unit #1</t>
  </si>
  <si>
    <t>H4880</t>
  </si>
  <si>
    <t>Polk CSA - Unit #2</t>
  </si>
  <si>
    <t>H4988</t>
  </si>
  <si>
    <t>Polk CSA - Unit #3</t>
  </si>
  <si>
    <t>H5088</t>
  </si>
  <si>
    <t>Polk CSA - Unit #4</t>
  </si>
  <si>
    <t>H5288</t>
  </si>
  <si>
    <t>Polk CSA - Unit #5</t>
  </si>
  <si>
    <t>Polk Non-Outage Projects / Capitalized Maint</t>
  </si>
  <si>
    <t>A8100/P8100</t>
  </si>
  <si>
    <t>PK Blankets/Retirements</t>
  </si>
  <si>
    <t>DCS Power Panel Replacement</t>
  </si>
  <si>
    <t>Instrument Air Compressor Replacement</t>
  </si>
  <si>
    <t>Brine Impeller</t>
  </si>
  <si>
    <t>Scrubber Blowdown Crusher</t>
  </si>
  <si>
    <t>Brine Filtration</t>
  </si>
  <si>
    <t>Slag Recovery System</t>
  </si>
  <si>
    <t>Polk Unit 2-5 Outage</t>
  </si>
  <si>
    <t xml:space="preserve">  Total Polk Unit 2-5 Outage</t>
  </si>
  <si>
    <t xml:space="preserve">  Polk LTSA/CSA</t>
  </si>
  <si>
    <t xml:space="preserve">  Total PolK LTSA/CSA</t>
  </si>
  <si>
    <t>Total Polk Power Station</t>
  </si>
  <si>
    <t>Coal Unloading Dock/Seawall Replacement</t>
  </si>
  <si>
    <t>Stevedore Work Flat</t>
  </si>
  <si>
    <t>Coal Field Controls Replacement</t>
  </si>
  <si>
    <t>E to F / E to Y Chutes Replacement</t>
  </si>
  <si>
    <t>F to J1 Chute Replacement</t>
  </si>
  <si>
    <t>T1 to W1 Transfer Chute Replacement</t>
  </si>
  <si>
    <t>T2 to W2 Transfer Chute Replacement</t>
  </si>
  <si>
    <t>J2-Conveyor</t>
  </si>
  <si>
    <t>K1A&amp;K1B to L1 Transfer Chute Replacement</t>
  </si>
  <si>
    <t>M1 Tripper Chute Replacement</t>
  </si>
  <si>
    <t>R1 Tripper Chute Replacement</t>
  </si>
  <si>
    <t>Blending Bin Gates (x12)</t>
  </si>
  <si>
    <t>P to J2 Chute Replacement</t>
  </si>
  <si>
    <t>T3 Tower Major Refurbishment</t>
  </si>
  <si>
    <t>Y to Z Chute Replacement</t>
  </si>
  <si>
    <t>Z to P Chute Replacement</t>
  </si>
  <si>
    <t>Rail System</t>
  </si>
  <si>
    <t>Sub-Total</t>
  </si>
  <si>
    <t>Total Energy Supply Services</t>
  </si>
  <si>
    <t xml:space="preserve">  Total Reclaimed Water Project</t>
  </si>
  <si>
    <t>Total All Capital - Excluding Generation Expansion</t>
  </si>
  <si>
    <t xml:space="preserve">Total All Capital - Excluding Generation Expansion &amp; ECRC  </t>
  </si>
  <si>
    <t xml:space="preserve">Various chutes/belts/conveyors </t>
  </si>
  <si>
    <t>G9878</t>
  </si>
  <si>
    <t>GE CSA  Unit 1</t>
  </si>
  <si>
    <t>G9981</t>
  </si>
  <si>
    <t>GE CSA  Unit 2</t>
  </si>
  <si>
    <t>PROJECT NUMBER</t>
  </si>
  <si>
    <t>PROJECT TITLE</t>
  </si>
  <si>
    <t>Solid Fuel Handling Equipment Replacement &amp; Additions</t>
  </si>
  <si>
    <t>Energy Supply Services - Recurring</t>
  </si>
  <si>
    <t xml:space="preserve">  Total Recurring</t>
  </si>
  <si>
    <t>Energy Supply Services - Non-Recurring</t>
  </si>
  <si>
    <t>Total Non-Recurring</t>
  </si>
  <si>
    <t>Total Solid Fuel Handling Equipment Replacement &amp; Additions</t>
  </si>
  <si>
    <t>Big Bend Environmental / Other ECRC Projects</t>
  </si>
  <si>
    <t>Total Environmental / Other ECRC Projects</t>
  </si>
  <si>
    <t>Unit 1&amp;2 Rebuild Absorber Recycle Pumps                                 ECRC</t>
  </si>
  <si>
    <t>Total All Big Bend Power Station</t>
  </si>
  <si>
    <t>A7100/P7100</t>
  </si>
  <si>
    <t>A7200/P7200</t>
  </si>
  <si>
    <t>A7300/P7300</t>
  </si>
  <si>
    <t>A7500/P7500</t>
  </si>
  <si>
    <t>A7700/P7700</t>
  </si>
  <si>
    <t>A50xx/P50xx</t>
  </si>
  <si>
    <t>B2501</t>
  </si>
  <si>
    <t>H1005</t>
  </si>
  <si>
    <t>H1006</t>
  </si>
  <si>
    <t>H1019</t>
  </si>
  <si>
    <t>H1020</t>
  </si>
  <si>
    <t>H1021</t>
  </si>
  <si>
    <t>H1022</t>
  </si>
  <si>
    <t>H1024</t>
  </si>
  <si>
    <t>H1025</t>
  </si>
  <si>
    <t>H1026</t>
  </si>
  <si>
    <t>H1101</t>
  </si>
  <si>
    <t>H1102</t>
  </si>
  <si>
    <t>H1103</t>
  </si>
  <si>
    <t>H1104</t>
  </si>
  <si>
    <t>H1105</t>
  </si>
  <si>
    <t>H1106</t>
  </si>
  <si>
    <t>H1107</t>
  </si>
  <si>
    <t>H1108</t>
  </si>
  <si>
    <t>H1109</t>
  </si>
  <si>
    <t>H1110</t>
  </si>
  <si>
    <t>H1100</t>
  </si>
  <si>
    <t>G5601</t>
  </si>
  <si>
    <t>B2901</t>
  </si>
  <si>
    <t>A7400/P7400</t>
  </si>
  <si>
    <t>B2408</t>
  </si>
  <si>
    <t>F0875</t>
  </si>
  <si>
    <t>L8832</t>
  </si>
  <si>
    <t>A2801</t>
  </si>
  <si>
    <t>Dismantlement of Gannon Coal Assets</t>
  </si>
  <si>
    <t>Polk Unit 1 Outage - Gasification Area</t>
  </si>
  <si>
    <t>H1027</t>
  </si>
  <si>
    <t>H1028</t>
  </si>
  <si>
    <t>H2000</t>
  </si>
  <si>
    <r>
      <t>Conveyor(s)</t>
    </r>
    <r>
      <rPr>
        <b/>
        <sz val="8"/>
        <color rgb="FFFF0000"/>
        <rFont val="Arial"/>
        <family val="2"/>
      </rPr>
      <t xml:space="preserve"> (BBC D-CONVEYOR)</t>
    </r>
  </si>
  <si>
    <t xml:space="preserve">Rail Crossing Tub Replacement </t>
  </si>
  <si>
    <t>F-Conveyor Belt Replacement</t>
  </si>
  <si>
    <t>L1 Reducer Replacement</t>
  </si>
  <si>
    <t>Q1 Conveyor Reducer Replacement</t>
  </si>
  <si>
    <t>L8839</t>
  </si>
  <si>
    <t>L1011</t>
  </si>
  <si>
    <t>Labworks Replacement</t>
  </si>
  <si>
    <t>L1012</t>
  </si>
  <si>
    <t>J0290</t>
  </si>
  <si>
    <t>Windows 7 Infrastructure - Tampa Electric</t>
  </si>
  <si>
    <t>F1375</t>
  </si>
  <si>
    <r>
      <t>Infrastructure / Facilities Upgrades</t>
    </r>
    <r>
      <rPr>
        <b/>
        <sz val="8"/>
        <color rgb="FFFF0000"/>
        <rFont val="Arial"/>
        <family val="2"/>
      </rPr>
      <t xml:space="preserve"> (B0500)</t>
    </r>
  </si>
  <si>
    <t>B1770</t>
  </si>
  <si>
    <t>B2022</t>
  </si>
  <si>
    <t>B2065</t>
  </si>
  <si>
    <t>B2067</t>
  </si>
  <si>
    <t>BBC #6 Elevator Moderization</t>
  </si>
  <si>
    <t>Coal Field Transfer Structures Ele Repairs (T-3 Plus)</t>
  </si>
  <si>
    <t>BBC PECO Variable Speed Drives and</t>
  </si>
  <si>
    <t>B1965</t>
  </si>
  <si>
    <t>B1969</t>
  </si>
  <si>
    <t>B2119</t>
  </si>
  <si>
    <t>B2207</t>
  </si>
  <si>
    <t>Total Miscellaneous</t>
  </si>
  <si>
    <t>H1111</t>
  </si>
  <si>
    <t>F0575</t>
  </si>
  <si>
    <t>BB Recycle Settling Pond</t>
  </si>
  <si>
    <t xml:space="preserve">BB 1&amp;2  CEM Replacement </t>
  </si>
  <si>
    <t>Total All Bayside Power Station</t>
  </si>
  <si>
    <t>Total FGD Equipment Replacement &amp; Additions</t>
  </si>
  <si>
    <t>Total Gypsum Storage Area</t>
  </si>
  <si>
    <t>Total FGD Equipment Replacement &amp; Additions / Gypsum Storage Area</t>
  </si>
  <si>
    <t>Flood Compensation</t>
  </si>
  <si>
    <t>B2741</t>
  </si>
  <si>
    <t>Q2741</t>
  </si>
  <si>
    <t>B2791</t>
  </si>
  <si>
    <t>B2792</t>
  </si>
  <si>
    <t>B2793</t>
  </si>
  <si>
    <t>B2794</t>
  </si>
  <si>
    <t>B2795</t>
  </si>
  <si>
    <t>FGD Equipment Replacement &amp; Additions / Gypsum Storage Area</t>
  </si>
  <si>
    <t>B2710</t>
  </si>
  <si>
    <t>B2712</t>
  </si>
  <si>
    <t>B2715</t>
  </si>
  <si>
    <t>B2716</t>
  </si>
  <si>
    <t>B2717</t>
  </si>
  <si>
    <t>B2719</t>
  </si>
  <si>
    <t>B2725</t>
  </si>
  <si>
    <t>B2726</t>
  </si>
  <si>
    <t>B2727</t>
  </si>
  <si>
    <t>B2728</t>
  </si>
  <si>
    <t>B2729</t>
  </si>
  <si>
    <t>B2730</t>
  </si>
  <si>
    <t>B2735</t>
  </si>
  <si>
    <t>B2737</t>
  </si>
  <si>
    <t>B2738</t>
  </si>
  <si>
    <t>B2751</t>
  </si>
  <si>
    <t>B2752</t>
  </si>
  <si>
    <t>B2753</t>
  </si>
  <si>
    <t>B2754</t>
  </si>
  <si>
    <t>B2755</t>
  </si>
  <si>
    <t>B2756</t>
  </si>
  <si>
    <t>B2757</t>
  </si>
  <si>
    <t>B2759</t>
  </si>
  <si>
    <t>B2760</t>
  </si>
  <si>
    <t>B2764</t>
  </si>
  <si>
    <t>B2768</t>
  </si>
  <si>
    <t>B2769</t>
  </si>
  <si>
    <t>B2770</t>
  </si>
  <si>
    <t>B2771</t>
  </si>
  <si>
    <t>B2772</t>
  </si>
  <si>
    <t>B2773</t>
  </si>
  <si>
    <t>B2774</t>
  </si>
  <si>
    <t>B2775</t>
  </si>
  <si>
    <t>B2776</t>
  </si>
  <si>
    <t>B2777</t>
  </si>
  <si>
    <t>BB FGD Common Controls Upgrade</t>
  </si>
  <si>
    <t>BB4 FGD Controls Upgrade</t>
  </si>
  <si>
    <t>BB Alternative Limestone Feed</t>
  </si>
  <si>
    <t>BB Limestone Reclaimer Control Upgrades</t>
  </si>
  <si>
    <t>BB Limestone Storage Building Roof Replacement</t>
  </si>
  <si>
    <t>BB Emergency Pond Reclamation System Upgrades</t>
  </si>
  <si>
    <t>BB4 C Booster Fan Inlet Vanes Replacement</t>
  </si>
  <si>
    <t>BB4 C &amp; D Booster Fans Lube Oil Skids Replacement</t>
  </si>
  <si>
    <t>BB4 C Booster Fan Upgrade</t>
  </si>
  <si>
    <t>BB4 D Booster Fan Housing Replacement</t>
  </si>
  <si>
    <t>BB3 A&amp;B Absorber/Quencher Pump Suction Valves Replacement</t>
  </si>
  <si>
    <t>BB4 C&amp;D Absorber/Quencher Pump Suction Valves Replacement</t>
  </si>
  <si>
    <t>BB3 A&amp;B FGD Tower Inlet Duct Replacement</t>
  </si>
  <si>
    <t>BB4 FGD Outlet Duct Replacement</t>
  </si>
  <si>
    <t>BB4 C&amp;D FGD Tower Inlet Duct Replacement</t>
  </si>
  <si>
    <t>BB4 Tank Liner Repalcement (TLR) - Absorber Feed Tanks (2 Total)</t>
  </si>
  <si>
    <t>BB3 TLR - Absorber Feed Tanks (2 Total)</t>
  </si>
  <si>
    <t>BB3 TLR - Quencher Blowdown Tank</t>
  </si>
  <si>
    <t>BB4 TLR - Quencher Blowdown Tank</t>
  </si>
  <si>
    <t>BB TLR - Reagent Feed Tank Unit 3</t>
  </si>
  <si>
    <t>BB TLR - Reagent Feed Tank Unit 4</t>
  </si>
  <si>
    <t>BB TLR - Unit 1&amp;2 Return Water Tank Common</t>
  </si>
  <si>
    <t>BB TLR - Unit 3&amp;4 Return Water Tank Common</t>
  </si>
  <si>
    <t>BB Common TLR - Sludge Surge Tanks (2 Total)</t>
  </si>
  <si>
    <t>BB3 A1 Oxidation Air Compressor Replacement</t>
  </si>
  <si>
    <t>BB3 A2 Oxidation Air Compressor Replacement</t>
  </si>
  <si>
    <t>BB3 B1 Oxidation Air Compressor Replacement</t>
  </si>
  <si>
    <t>BB3 B2 Oxidation Air Compressor Replacement</t>
  </si>
  <si>
    <t>BB4 C1 Oxidation Air Compressor Replacement</t>
  </si>
  <si>
    <t>BB4 C2 Oxidation Air Compressor Replacement</t>
  </si>
  <si>
    <t>BB4 D1 Oxidation Air Compressor Replacement</t>
  </si>
  <si>
    <t>BB4 D2 Oxidation Air Compressor Replacement</t>
  </si>
  <si>
    <t>BB3 A&amp;B Tower WFC Nozzles Replacement</t>
  </si>
  <si>
    <t>BB4 C&amp;D Tower WFC Nozzles Replacement</t>
  </si>
  <si>
    <t xml:space="preserve">  Total Polk Non-Outage Projects / Capitalized Maint</t>
  </si>
  <si>
    <t>10K Disclosure</t>
  </si>
  <si>
    <t xml:space="preserve"> Over / (Under)</t>
  </si>
  <si>
    <t>FD Fan Wheel Replacement</t>
  </si>
  <si>
    <t>A50's</t>
  </si>
  <si>
    <t>1A, B, C HRSG Stack Breach Streamline Mod.</t>
  </si>
  <si>
    <t>Unit 2 HP/IP/LP Steam Turbine ring &amp; seal repl</t>
  </si>
  <si>
    <t>#2 Turbine  L.O. Cooler</t>
  </si>
  <si>
    <t>Condensate pump</t>
  </si>
  <si>
    <t>Unit 2 Inlet Filters</t>
  </si>
  <si>
    <t>Unit 2  Blow down tanks repl</t>
  </si>
  <si>
    <t xml:space="preserve">2A,B,C,D HRSG Piping Penetration seals </t>
  </si>
  <si>
    <t>GE TIL 132OR-2</t>
  </si>
  <si>
    <t>2A, B, C, D CT exhaust T/C replacement</t>
  </si>
  <si>
    <t>Unit 2 A,B,C,D IP Reheat Attemperator repl.</t>
  </si>
  <si>
    <t>Unit 2 A,B,C,D IP Start up sky vent silencer repl</t>
  </si>
  <si>
    <t>Unit 2 A,B,C,D IP Main steam startup sky vent silencer repl</t>
  </si>
  <si>
    <t>Unit 2 A,B,C,D FAC materials upgrd LP evap. Outlet circuits</t>
  </si>
  <si>
    <t>Unit 2 A,B,C,D HRSG Sidewall baffles</t>
  </si>
  <si>
    <t>Unit 2 A,B,C,D HRSG Stack Breach streamline flow guide</t>
  </si>
  <si>
    <t xml:space="preserve">Bayside Non-Outage Projects </t>
  </si>
  <si>
    <t>ABB Console Conversion PPB to PPA</t>
  </si>
  <si>
    <t>G99xx</t>
  </si>
  <si>
    <t>Total Unit # 1 Outage</t>
  </si>
  <si>
    <t>Total Unit # 2 Outage</t>
  </si>
  <si>
    <t>Total Non-Outage Projects</t>
  </si>
  <si>
    <t>Transformer Replacement Reserve 2</t>
  </si>
  <si>
    <t>Total CSA</t>
  </si>
  <si>
    <t>B2811</t>
  </si>
  <si>
    <t>B2812</t>
  </si>
  <si>
    <t>North Stacker Replacement - Improvement Account</t>
  </si>
  <si>
    <t>B2813</t>
  </si>
  <si>
    <t>South Stacker Replacement   - Improvement Account</t>
  </si>
  <si>
    <t>B2814</t>
  </si>
  <si>
    <t>Dravo Refurbishment - Improvement Account</t>
  </si>
  <si>
    <t>B2815</t>
  </si>
  <si>
    <t>PECO Refurbishment - Improvement Account</t>
  </si>
  <si>
    <t>B2816</t>
  </si>
  <si>
    <t>Cathodic Protection - Improvement Account</t>
  </si>
  <si>
    <t>B2817</t>
  </si>
  <si>
    <t>K2A&amp;K2B to L2 Transfer Chute Replacement  - Improvement Account</t>
  </si>
  <si>
    <t>B2818</t>
  </si>
  <si>
    <t>S-1 to T-1 chutes and feeders (Yr 1) - Improvement Account</t>
  </si>
  <si>
    <t>B2819</t>
  </si>
  <si>
    <t>S-2 to T-2 chutes and feeders  (Yr 1) - Improvement Account</t>
  </si>
  <si>
    <t>B2820</t>
  </si>
  <si>
    <t>Blending Bins Re-line (Yr 1) - Improvement Account</t>
  </si>
  <si>
    <t>B2821</t>
  </si>
  <si>
    <t>Blending Bin Bypass System - Improvement Account</t>
  </si>
  <si>
    <t>B2824</t>
  </si>
  <si>
    <t>J2-Q2 Chute  - Improvement Account</t>
  </si>
  <si>
    <t>B2825</t>
  </si>
  <si>
    <t>Q1-R1 Chute - Improvement Account</t>
  </si>
  <si>
    <t>B2826</t>
  </si>
  <si>
    <t>Q2-R2 Chute - Improvement Account</t>
  </si>
  <si>
    <t>B2828</t>
  </si>
  <si>
    <t>L1-M1 - Improvement Account</t>
  </si>
  <si>
    <t>B2830</t>
  </si>
  <si>
    <t>L2-M2 Chute - Improvement Account</t>
  </si>
  <si>
    <t>B2832</t>
  </si>
  <si>
    <t>Blending Bin MCC replacement - Improvement Account</t>
  </si>
  <si>
    <t>B2833</t>
  </si>
  <si>
    <t>Arc Flash Remediation - Improvement Account</t>
  </si>
  <si>
    <t>B2834</t>
  </si>
  <si>
    <t>PECO Electrical Upgrades - Improvement Account</t>
  </si>
  <si>
    <t>B2835</t>
  </si>
  <si>
    <t>Sonar Room MCC Replacement - Improvement Account</t>
  </si>
  <si>
    <t>B2836</t>
  </si>
  <si>
    <t>T-2 Electrical Upgrades - Improvement Account</t>
  </si>
  <si>
    <t>B2837</t>
  </si>
  <si>
    <t>T-2 to T-1 Cable replacement - Improvement Account</t>
  </si>
  <si>
    <t>B2838</t>
  </si>
  <si>
    <t>T-3 Cable replacement - Improvement Account</t>
  </si>
  <si>
    <t>B2839</t>
  </si>
  <si>
    <t>T-7 Electrical Replacement - Improvement Account</t>
  </si>
  <si>
    <t>B2841</t>
  </si>
  <si>
    <t>B2848</t>
  </si>
  <si>
    <t>S-1 to T-1 chutes and feeders  (Yr 2) - Improvement Account</t>
  </si>
  <si>
    <t>B2849</t>
  </si>
  <si>
    <t>S-2 to T-2 chutes and feeders  (Yr 2) - Improvement Account</t>
  </si>
  <si>
    <t>B2850</t>
  </si>
  <si>
    <t>Blending Bins Re-line (Yr 2) - Improvement Account</t>
  </si>
  <si>
    <t>B2858</t>
  </si>
  <si>
    <t>S-1 to T-1 chutes and feeders  (Yr 3) - Improvement Account</t>
  </si>
  <si>
    <t>B2859</t>
  </si>
  <si>
    <t>S-2 to T-2 chutes and feeders  (Yr 3) - Improvement Account</t>
  </si>
  <si>
    <t>B2860</t>
  </si>
  <si>
    <t>Blending Bins Re-line (Yr 3) - Improvement Account</t>
  </si>
  <si>
    <t>Energy Supply Critical Alarm Management</t>
  </si>
  <si>
    <t>AGR Vent Flare Piping</t>
  </si>
  <si>
    <t>H1112</t>
  </si>
  <si>
    <t>H1113</t>
  </si>
  <si>
    <t>Syngas Piping Liner (Ph1-Lower Hairpins)</t>
  </si>
  <si>
    <t>Brine Evaporator Tube replacement (Ph2)</t>
  </si>
  <si>
    <t>H11xx</t>
  </si>
  <si>
    <t xml:space="preserve">Auxillary Boiler Retube </t>
  </si>
  <si>
    <t>Control Room Display replacement</t>
  </si>
  <si>
    <t>Acid Piping Replacement</t>
  </si>
  <si>
    <t>H1201</t>
  </si>
  <si>
    <t>RSC Cone replacement</t>
  </si>
  <si>
    <t>CSC Sootblower Addition</t>
  </si>
  <si>
    <t>Slag Screen Platform replacement</t>
  </si>
  <si>
    <t>SAP Duct Replacement</t>
  </si>
  <si>
    <t>Sour Gas Piping Replacement</t>
  </si>
  <si>
    <t>Open Loop "A" Pump Internals</t>
  </si>
  <si>
    <t>Open Loop "B" Pump Internals</t>
  </si>
  <si>
    <t>Amine Storage Tank Liner Addition</t>
  </si>
  <si>
    <t>SAP Demister Replacement</t>
  </si>
  <si>
    <t>SAP/Aux Boiler Natural Gas Conversion</t>
  </si>
  <si>
    <t>Syngas Transfer Duct Expansion Joint</t>
  </si>
  <si>
    <t>Lockhopper Valve Replacement</t>
  </si>
  <si>
    <t>Brine Crystalizer</t>
  </si>
  <si>
    <t>Brine Preheater</t>
  </si>
  <si>
    <t>Brine Filtration Addition</t>
  </si>
  <si>
    <t>Gasifier Piping Replacement</t>
  </si>
  <si>
    <t>MDEA Filtration System</t>
  </si>
  <si>
    <t>Brine Grey Water Evaporator</t>
  </si>
  <si>
    <t>Slag Air Belt Conveyor</t>
  </si>
  <si>
    <t>HRSG Tubing Replacement</t>
  </si>
  <si>
    <t>CEM Analyzers</t>
  </si>
  <si>
    <t>Polk Water Project Maintenance Capital</t>
  </si>
  <si>
    <t>Polk Platform Additions</t>
  </si>
  <si>
    <t>Air Removal Pump Replacement</t>
  </si>
  <si>
    <t>HP/IP/LP Turbine &amp; Valves</t>
  </si>
  <si>
    <t>B1473</t>
  </si>
  <si>
    <t>BB1 Precipitator Exterior Upgrade</t>
  </si>
  <si>
    <t>B1517</t>
  </si>
  <si>
    <t>BB1 Generator Rewind</t>
  </si>
  <si>
    <t>Cooling Tower Replacement</t>
  </si>
  <si>
    <t>2014 Portion of 2015 BB1 Major Outage Work</t>
  </si>
  <si>
    <t>B1605</t>
  </si>
  <si>
    <t>BB2 Precipitator Purge Air Blower</t>
  </si>
  <si>
    <t>B1616</t>
  </si>
  <si>
    <t>BB2 Arc Flash Remediation</t>
  </si>
  <si>
    <t>B1617</t>
  </si>
  <si>
    <t>BB2 Blowdown Tank Replacement</t>
  </si>
  <si>
    <t>B1618</t>
  </si>
  <si>
    <t>BB2 Classifier/Discharge Chute Replacement</t>
  </si>
  <si>
    <t>B1619</t>
  </si>
  <si>
    <t>BB2 Coal Inlet Chutes</t>
  </si>
  <si>
    <t>B1620</t>
  </si>
  <si>
    <t>BB2 Flash Tank Replacement</t>
  </si>
  <si>
    <t>B1622</t>
  </si>
  <si>
    <t>BB2 Primary SH</t>
  </si>
  <si>
    <t>B1623</t>
  </si>
  <si>
    <t>BB2 Sootblower system Replacement</t>
  </si>
  <si>
    <t>B1624</t>
  </si>
  <si>
    <t>BB2 Coal Nozzle Replacement</t>
  </si>
  <si>
    <t>B1626</t>
  </si>
  <si>
    <t>BB2 Hot Air Expansion Joints</t>
  </si>
  <si>
    <t>B1627</t>
  </si>
  <si>
    <t>BB2 Mill Trunnion Liners</t>
  </si>
  <si>
    <t>B1639</t>
  </si>
  <si>
    <t>B1649</t>
  </si>
  <si>
    <t>BB2 HTSH DMW Repl</t>
  </si>
  <si>
    <t>B1662</t>
  </si>
  <si>
    <t>BB2 Precipitator Upgrades</t>
  </si>
  <si>
    <t>B1663</t>
  </si>
  <si>
    <t>BB2 2nd Radiant Tube Replacement</t>
  </si>
  <si>
    <t>B1664</t>
  </si>
  <si>
    <t>B1816</t>
  </si>
  <si>
    <t>BB2 Hydrogen Cooler</t>
  </si>
  <si>
    <t>B1802</t>
  </si>
  <si>
    <t>BB2 Generator Stator Rewind</t>
  </si>
  <si>
    <t>B1813</t>
  </si>
  <si>
    <t>BB2 Exciter Rewind</t>
  </si>
  <si>
    <t>B1814</t>
  </si>
  <si>
    <t>BB2 EH6 &amp; 7 Level Instrumentation</t>
  </si>
  <si>
    <t>B1815</t>
  </si>
  <si>
    <t>BB2 Heater Drip Pumps</t>
  </si>
  <si>
    <t>2015 Portion of 2016 BB2 Major Outage Work</t>
  </si>
  <si>
    <t>B1710</t>
  </si>
  <si>
    <t>B1721</t>
  </si>
  <si>
    <t>B1711</t>
  </si>
  <si>
    <t>BB3 Slag Tank Vent Line Repl.</t>
  </si>
  <si>
    <t>B1772</t>
  </si>
  <si>
    <t>B1773</t>
  </si>
  <si>
    <t>B1774</t>
  </si>
  <si>
    <t>B1775</t>
  </si>
  <si>
    <t>B1776</t>
  </si>
  <si>
    <t>B1777</t>
  </si>
  <si>
    <t>B2121</t>
  </si>
  <si>
    <t>B2122</t>
  </si>
  <si>
    <t>B2120</t>
  </si>
  <si>
    <t>B2123</t>
  </si>
  <si>
    <t>B1778</t>
  </si>
  <si>
    <t>B1779</t>
  </si>
  <si>
    <t>B1780</t>
  </si>
  <si>
    <t>B1782</t>
  </si>
  <si>
    <t>B1783</t>
  </si>
  <si>
    <t>2016 Portion of 2017 BB3 Major Outage Work</t>
  </si>
  <si>
    <t>B1918</t>
  </si>
  <si>
    <t>B1970</t>
  </si>
  <si>
    <t>BB4 4D Pulverizer Grindin Assemlies Repl</t>
  </si>
  <si>
    <t>B1971</t>
  </si>
  <si>
    <t>B2312</t>
  </si>
  <si>
    <t>Coal Chutes</t>
  </si>
  <si>
    <t>B1900</t>
  </si>
  <si>
    <t>2013 Portion of 2014 BB4 Major Outage Work</t>
  </si>
  <si>
    <t>B0501</t>
  </si>
  <si>
    <t>BBC-PA Fan Roof Replacement</t>
  </si>
  <si>
    <t>B0502</t>
  </si>
  <si>
    <t>BBC-Tripper Room Roof</t>
  </si>
  <si>
    <t>B1948</t>
  </si>
  <si>
    <t>B2016</t>
  </si>
  <si>
    <t>BBC Machine Shop Water Lab &amp; Wh 23 Roof Repl</t>
  </si>
  <si>
    <t>B2018</t>
  </si>
  <si>
    <t>BB3 &amp; BB4 Condensate Polisher Sulfuric Acid Tank Upgrd</t>
  </si>
  <si>
    <t>B2024</t>
  </si>
  <si>
    <t>BBC #4 Stack Elevator</t>
  </si>
  <si>
    <t>B2025</t>
  </si>
  <si>
    <t>BB1 Onan Replacement</t>
  </si>
  <si>
    <t>B2026</t>
  </si>
  <si>
    <t>BB2 Onan Replacement</t>
  </si>
  <si>
    <t>B2027</t>
  </si>
  <si>
    <t>BB1 &amp; BB2 Startup Boiler Feed Pump</t>
  </si>
  <si>
    <t>B2050</t>
  </si>
  <si>
    <t>B2095</t>
  </si>
  <si>
    <t>B2223</t>
  </si>
  <si>
    <t>B2401</t>
  </si>
  <si>
    <t>B2405</t>
  </si>
  <si>
    <t>Accoustic Monitoring System</t>
  </si>
  <si>
    <t>B2407</t>
  </si>
  <si>
    <t>B0500</t>
  </si>
  <si>
    <t>B2711</t>
  </si>
  <si>
    <t>B2713</t>
  </si>
  <si>
    <t>B2718</t>
  </si>
  <si>
    <t>B2721</t>
  </si>
  <si>
    <t>B2732</t>
  </si>
  <si>
    <t>B2733</t>
  </si>
  <si>
    <t>B2734</t>
  </si>
  <si>
    <t>B2740</t>
  </si>
  <si>
    <t>B2758</t>
  </si>
  <si>
    <t>B2761</t>
  </si>
  <si>
    <t>B2762</t>
  </si>
  <si>
    <t>B2763</t>
  </si>
  <si>
    <t>B2765</t>
  </si>
  <si>
    <t>B2766</t>
  </si>
  <si>
    <t>B2767</t>
  </si>
  <si>
    <t>Gypsum Storage   -   Demo</t>
  </si>
  <si>
    <t>L8827</t>
  </si>
  <si>
    <t>L8836</t>
  </si>
  <si>
    <t>L8841</t>
  </si>
  <si>
    <t>L8844</t>
  </si>
  <si>
    <t>L8837</t>
  </si>
  <si>
    <t>L8829</t>
  </si>
  <si>
    <t>L8826</t>
  </si>
  <si>
    <t>L8850</t>
  </si>
  <si>
    <t>A2900</t>
  </si>
  <si>
    <t>B2913</t>
  </si>
  <si>
    <t>B2911</t>
  </si>
  <si>
    <t>B2904</t>
  </si>
  <si>
    <t>B2905</t>
  </si>
  <si>
    <t>B2918</t>
  </si>
  <si>
    <t>B2076</t>
  </si>
  <si>
    <t>B2907</t>
  </si>
  <si>
    <t>B2908</t>
  </si>
  <si>
    <t>B2909</t>
  </si>
  <si>
    <t>B2910</t>
  </si>
  <si>
    <t>B2914</t>
  </si>
  <si>
    <t>B2915</t>
  </si>
  <si>
    <t>B2916</t>
  </si>
  <si>
    <t>B2917</t>
  </si>
  <si>
    <t>B2919</t>
  </si>
  <si>
    <t>B2920</t>
  </si>
  <si>
    <t>B2921</t>
  </si>
  <si>
    <t>B2922</t>
  </si>
  <si>
    <t>B2923</t>
  </si>
  <si>
    <t>B2924</t>
  </si>
  <si>
    <t>B2925</t>
  </si>
  <si>
    <t>B2926</t>
  </si>
  <si>
    <t>BBC M2 Tripper Chute Replacement</t>
  </si>
  <si>
    <t>B2927</t>
  </si>
  <si>
    <t>BBC R2 Tripper Chute Replacement</t>
  </si>
  <si>
    <t>B2070</t>
  </si>
  <si>
    <t>DCS Upgrades</t>
  </si>
  <si>
    <t>HRSG Penthouse Insulation Replacement</t>
  </si>
  <si>
    <t>NERC/CIP Project Support</t>
  </si>
  <si>
    <t>A8200/P8200</t>
  </si>
  <si>
    <t>B2810</t>
  </si>
  <si>
    <t>BBC Electrical Upgrades (Plant)</t>
  </si>
  <si>
    <t>Coal Unloading Dock Phase II - Improvement Account</t>
  </si>
  <si>
    <t>B2928</t>
  </si>
  <si>
    <t>BB Blending Building 141E Cable Replacement</t>
  </si>
  <si>
    <t>BB4 Lower Fuirnace Slope Tubes Overlay</t>
  </si>
  <si>
    <t>B1960</t>
  </si>
  <si>
    <t>BB4 Instrument Air Dryers Replacement</t>
  </si>
  <si>
    <t>BB4 #3 Stack Liner Replacement</t>
  </si>
  <si>
    <t>B1962</t>
  </si>
  <si>
    <t>BB4 Bottom Ash Restoration</t>
  </si>
  <si>
    <t>B1767</t>
  </si>
  <si>
    <t>BB3 Coal Bunker Lining Addition</t>
  </si>
  <si>
    <t>B1768</t>
  </si>
  <si>
    <t>BB3 Pulverizer Inlet Chutes Replacement</t>
  </si>
  <si>
    <t>B2404</t>
  </si>
  <si>
    <t>108 / W01xx</t>
  </si>
  <si>
    <t>H1223</t>
  </si>
  <si>
    <t>H1204</t>
  </si>
  <si>
    <t>H1226</t>
  </si>
  <si>
    <t>H1209</t>
  </si>
  <si>
    <t>H1210</t>
  </si>
  <si>
    <t>H1225</t>
  </si>
  <si>
    <t>H1218</t>
  </si>
  <si>
    <t>H1215</t>
  </si>
  <si>
    <t>H1216</t>
  </si>
  <si>
    <t>H1227</t>
  </si>
  <si>
    <t>H1217</t>
  </si>
  <si>
    <t>H1213</t>
  </si>
  <si>
    <t>Not L1012</t>
  </si>
  <si>
    <t>H12x6</t>
  </si>
  <si>
    <t>H1205</t>
  </si>
  <si>
    <t>H1206</t>
  </si>
  <si>
    <t>H1207</t>
  </si>
  <si>
    <t>H1208</t>
  </si>
  <si>
    <t>CSC Ferrule Replacement</t>
  </si>
  <si>
    <t>Waterworld Piping replacement</t>
  </si>
  <si>
    <t>Unit #4 Inlet Air Filter replacement</t>
  </si>
  <si>
    <t>Unit #5 Inlet Air Filter replacement</t>
  </si>
  <si>
    <t>H1202</t>
  </si>
  <si>
    <t>H1203</t>
  </si>
  <si>
    <t>Polk 1 RSC Cone Replacement</t>
  </si>
  <si>
    <t>PK Flare Stack Molecular Seal Replacement</t>
  </si>
  <si>
    <t>H1211</t>
  </si>
  <si>
    <t>Slag Screen Replacement</t>
  </si>
  <si>
    <t>ST Main Steam Line Modifications</t>
  </si>
  <si>
    <t>POLK Undefined Capital Projects</t>
  </si>
  <si>
    <t>G1211</t>
  </si>
  <si>
    <t>G1201</t>
  </si>
  <si>
    <t>G1203</t>
  </si>
  <si>
    <t>BBC 3 &amp; 4 Instrument Air Dryers</t>
  </si>
  <si>
    <t>BB FGD D2 Quencher Pump Upgrade</t>
  </si>
  <si>
    <t>BB4 Service Air Compressor Rplc</t>
  </si>
  <si>
    <t>BB FGD 1&amp;2 Arc Flash Remediation</t>
  </si>
  <si>
    <t xml:space="preserve">BBC Coal Field Electrical Feed System  (L1-L2)                   </t>
  </si>
  <si>
    <t xml:space="preserve">BBC Elevator #5 Code Upgrades                        </t>
  </si>
  <si>
    <t xml:space="preserve">BB Tagging Application                                    </t>
  </si>
  <si>
    <t>BBC Compressed Air System Upgrades</t>
  </si>
  <si>
    <t>B2403</t>
  </si>
  <si>
    <t>BBC Transformer Fire Protection Upgrade (BB4)</t>
  </si>
  <si>
    <t>BB4 Stack Truning Vane &amp; Expansion JT</t>
  </si>
  <si>
    <t>BB2 APH Cold Side Sootblower</t>
  </si>
  <si>
    <t>BB2 Cooling Tower Replacement</t>
  </si>
  <si>
    <t>L1010</t>
  </si>
  <si>
    <t>G6901</t>
  </si>
  <si>
    <t>H0807</t>
  </si>
  <si>
    <t>H0815</t>
  </si>
  <si>
    <t>G1001</t>
  </si>
  <si>
    <t>G1101</t>
  </si>
  <si>
    <t>G1102</t>
  </si>
  <si>
    <t>G1103</t>
  </si>
  <si>
    <t>G1104</t>
  </si>
  <si>
    <t>G1105</t>
  </si>
  <si>
    <t>G1106</t>
  </si>
  <si>
    <t>G1107</t>
  </si>
  <si>
    <t>BS 1B Circulating water pump</t>
  </si>
  <si>
    <t>G1108</t>
  </si>
  <si>
    <t>G1202</t>
  </si>
  <si>
    <t>G4701</t>
  </si>
  <si>
    <t>G4801</t>
  </si>
  <si>
    <t>G5028</t>
  </si>
  <si>
    <t>G6101</t>
  </si>
  <si>
    <t>B2310</t>
  </si>
  <si>
    <t>B2221</t>
  </si>
  <si>
    <t>B20XX</t>
  </si>
  <si>
    <t>B2083</t>
  </si>
  <si>
    <t>B2092</t>
  </si>
  <si>
    <t>B2028</t>
  </si>
  <si>
    <t>B2032</t>
  </si>
  <si>
    <t>BB FGD Lime Silo</t>
  </si>
  <si>
    <t>B2033</t>
  </si>
  <si>
    <t>B2034</t>
  </si>
  <si>
    <t>B2049</t>
  </si>
  <si>
    <t>B2019</t>
  </si>
  <si>
    <t>B2021</t>
  </si>
  <si>
    <t>B2013</t>
  </si>
  <si>
    <t>B1413</t>
  </si>
  <si>
    <t>B1454</t>
  </si>
  <si>
    <t>B1472</t>
  </si>
  <si>
    <t>B14X1</t>
  </si>
  <si>
    <t>B0101</t>
  </si>
  <si>
    <t>A2902</t>
  </si>
  <si>
    <t>A2903</t>
  </si>
  <si>
    <t>A2904</t>
  </si>
  <si>
    <t>A2905</t>
  </si>
  <si>
    <t>A2906</t>
  </si>
  <si>
    <t>BBC South Stacker G1 Transition Chute</t>
  </si>
  <si>
    <t>A2907</t>
  </si>
  <si>
    <t>BBC G1 Conveyor Belt Replacement</t>
  </si>
  <si>
    <t>A2908</t>
  </si>
  <si>
    <t>BBC G1 Tail Pulley Replacement</t>
  </si>
  <si>
    <t>A2909</t>
  </si>
  <si>
    <t>BBC J-1 Conveyor Reducer Replacement</t>
  </si>
  <si>
    <t>A2910</t>
  </si>
  <si>
    <t>A2911</t>
  </si>
  <si>
    <t>A2912</t>
  </si>
  <si>
    <t>A2913</t>
  </si>
  <si>
    <t>BBC Replace S2B &amp; S6B Feeder Coal Belt</t>
  </si>
  <si>
    <t>A2914</t>
  </si>
  <si>
    <t>G1205</t>
  </si>
  <si>
    <t>G1206</t>
  </si>
  <si>
    <t>G1204</t>
  </si>
  <si>
    <t>G1207</t>
  </si>
  <si>
    <t>2A  Hot Reheat stop valve mods</t>
  </si>
  <si>
    <t>2B  Hot Reheat stop valve mods</t>
  </si>
  <si>
    <t>2C  Hot Reheat stop valve mods</t>
  </si>
  <si>
    <t>2D  Hot Reheat stop valve mods</t>
  </si>
  <si>
    <t>BS2 Traveling Water Screen Replacement</t>
  </si>
  <si>
    <t>A51xx-A53xx</t>
  </si>
  <si>
    <t>Bayside Outage - Unit #1A,B,C</t>
  </si>
  <si>
    <t>A54xx-A57xx</t>
  </si>
  <si>
    <t>Bayside Outage - Unit #2A,B,C,D</t>
  </si>
  <si>
    <t>Syngas Piping Transfer Duct Expansion Joint Replacement</t>
  </si>
  <si>
    <t>Syngas Piping Liner Replacement - PH 2</t>
  </si>
  <si>
    <t>Radiant Syngas Cooler Seal Replacement</t>
  </si>
  <si>
    <t>PK1 B Slurry Booster Pump Addition</t>
  </si>
  <si>
    <t>PK Blankets/Retirements (&amp; A9698)</t>
  </si>
  <si>
    <t>Furniture, equipment, router, switch, misc. (A8900, A9604, A9622, A9699)</t>
  </si>
  <si>
    <t>A2800 &amp; Misc Accts.</t>
  </si>
  <si>
    <t>A7000/P7000</t>
  </si>
  <si>
    <t>A7600/P7600</t>
  </si>
  <si>
    <t>Recurring Maintenance Capital (&amp;A9695)</t>
  </si>
  <si>
    <t>A58xx/P58xx</t>
  </si>
  <si>
    <t>Bayside Outage - Common_Blankets</t>
  </si>
  <si>
    <t xml:space="preserve">  Total Polk Unit 1 Outage - Gasification Area</t>
  </si>
  <si>
    <t>B2062</t>
  </si>
  <si>
    <t>B2093</t>
  </si>
  <si>
    <t>BBC 3 &amp; 4 Condensate Polisher Resin</t>
  </si>
  <si>
    <t>L8840</t>
  </si>
  <si>
    <t>G1210</t>
  </si>
  <si>
    <t>BS Diesel Generator steam turbine</t>
  </si>
  <si>
    <t>Miscellaneous Accounts: H2100,H2200,H2300,L9101,L9102,L9128</t>
  </si>
  <si>
    <t>BB3 FGD Controls Upgrade                                                          ECRC</t>
  </si>
  <si>
    <t>BB1&amp;2 FGD Controls Upgrade                                                      ECRC</t>
  </si>
  <si>
    <t>BB FGD A Pick Heater Replacement                                           ECRC</t>
  </si>
  <si>
    <t>BB1&amp;2 FGD Tower Oxidation Air Header Improvements             ECRC</t>
  </si>
  <si>
    <t>BB3 FGD Inlet Duct Replacement                                                 ECRC</t>
  </si>
  <si>
    <t>BB3 FGD Outlet Duct Coating System                                          ECRC</t>
  </si>
  <si>
    <t>BB Waste Water Treatment Reliability Upgrades                        ECRC</t>
  </si>
  <si>
    <t>BB TLR - Reagent Feed Tank Unit 1&amp;2                                        ECRC</t>
  </si>
  <si>
    <t>BB TLR - Backup Water Tank Unit 1&amp;2                                        ECRC</t>
  </si>
  <si>
    <t>BB TLR - WWT Equalization Tank Unit 1&amp;2                                 ECRC</t>
  </si>
  <si>
    <t>BB TLR - WWT Sludge Storage Tank Unit 1&amp;2                            ECRC</t>
  </si>
  <si>
    <t>BB TLR - Chloride Purge Feed Tank Unit 1&amp;2                              ECRC</t>
  </si>
  <si>
    <t>BB TLR - Reaction Tanks Units 1&amp;2 (3 Total)                                ECRC</t>
  </si>
  <si>
    <t>BB TLR - Secondary Clarifier Tank Units 1&amp;2                               ECRC</t>
  </si>
  <si>
    <t>BB FGD B Pick Heater Replacement                                           ECRC</t>
  </si>
  <si>
    <r>
      <t xml:space="preserve">Gypsum Storage Relocation                                                     </t>
    </r>
    <r>
      <rPr>
        <b/>
        <sz val="12"/>
        <color rgb="FF0000FF"/>
        <rFont val="Arial"/>
        <family val="2"/>
      </rPr>
      <t xml:space="preserve">   </t>
    </r>
    <r>
      <rPr>
        <b/>
        <sz val="12"/>
        <color rgb="FF009900"/>
        <rFont val="Arial"/>
        <family val="2"/>
      </rPr>
      <t>ECRC</t>
    </r>
  </si>
  <si>
    <r>
      <t xml:space="preserve">New Liner installation and fill                                                     </t>
    </r>
    <r>
      <rPr>
        <b/>
        <sz val="12"/>
        <color rgb="FF009900"/>
        <rFont val="Arial"/>
        <family val="2"/>
      </rPr>
      <t>ECRC</t>
    </r>
  </si>
  <si>
    <r>
      <t xml:space="preserve">New Road Access to Big Bend                                                 </t>
    </r>
    <r>
      <rPr>
        <b/>
        <sz val="12"/>
        <color rgb="FF0000FF"/>
        <rFont val="Arial"/>
        <family val="2"/>
      </rPr>
      <t xml:space="preserve">   </t>
    </r>
    <r>
      <rPr>
        <b/>
        <sz val="12"/>
        <color rgb="FF009900"/>
        <rFont val="Arial"/>
        <family val="2"/>
      </rPr>
      <t>ECRC</t>
    </r>
  </si>
  <si>
    <r>
      <t xml:space="preserve">Lime Emer. Stackout Area                                                       </t>
    </r>
    <r>
      <rPr>
        <b/>
        <sz val="12"/>
        <color rgb="FF0000FF"/>
        <rFont val="Arial"/>
        <family val="2"/>
      </rPr>
      <t xml:space="preserve">   </t>
    </r>
    <r>
      <rPr>
        <b/>
        <sz val="12"/>
        <color rgb="FF009900"/>
        <rFont val="Arial"/>
        <family val="2"/>
      </rPr>
      <t>ECRC</t>
    </r>
  </si>
  <si>
    <r>
      <t xml:space="preserve">Rotary Plow &amp; Truck Loadout Silo                                              </t>
    </r>
    <r>
      <rPr>
        <b/>
        <sz val="12"/>
        <color rgb="FF009900"/>
        <rFont val="Arial"/>
        <family val="2"/>
      </rPr>
      <t>ECRC</t>
    </r>
  </si>
  <si>
    <t>Fines Removal and Filtration System  (10% Moisture)                  ECRC</t>
  </si>
  <si>
    <t>SCR Catalyst                                                                                ECRC</t>
  </si>
  <si>
    <t>BB 1&amp;2 Tower Agitator Replacement                                         ECRC</t>
  </si>
  <si>
    <t>Unit 3 Precip Upgrades (PM Consent Decree)                             ECRC</t>
  </si>
  <si>
    <t>Unit 1 Precip Upgrades (PM Consent Decree)                             ECRC</t>
  </si>
  <si>
    <t>316B Study                                                                                  ECRC</t>
  </si>
  <si>
    <t>316B  Fine Mesh screens                                                             ECRC</t>
  </si>
  <si>
    <t>B0699</t>
  </si>
  <si>
    <t>New Office / Storage Building</t>
  </si>
  <si>
    <t>Tram Path</t>
  </si>
  <si>
    <t>Purchase 4 Tram Trains</t>
  </si>
  <si>
    <t>Solar Charging Station for Tram Trains</t>
  </si>
  <si>
    <t>APH Cold End Basket Replacement                                           ECRC</t>
  </si>
  <si>
    <t>BS2 HP/IP/LP Steam Turbine Seals/Generator Brg</t>
  </si>
  <si>
    <r>
      <t xml:space="preserve">5-YEAR                 FORECAST        </t>
    </r>
    <r>
      <rPr>
        <b/>
        <sz val="11"/>
        <rFont val="Arial"/>
        <family val="2"/>
      </rPr>
      <t xml:space="preserve">  </t>
    </r>
    <r>
      <rPr>
        <b/>
        <sz val="11"/>
        <color indexed="12"/>
        <rFont val="Arial"/>
        <family val="2"/>
      </rPr>
      <t>(2012 - 2016)</t>
    </r>
  </si>
  <si>
    <t>BB1 Arc Flash Remediation</t>
  </si>
  <si>
    <t>BB1 Control Rm Project</t>
  </si>
  <si>
    <t>BB1 Ignition System</t>
  </si>
  <si>
    <t>BB4 4C Pulverizer</t>
  </si>
  <si>
    <t>BB4  4A Circulator Repl.</t>
  </si>
  <si>
    <t>BB4 Condenser Tube Module Repl</t>
  </si>
  <si>
    <t>BB4 Arc Flash Remediation Project</t>
  </si>
  <si>
    <t>BB4 FGD Tower Upgrade</t>
  </si>
  <si>
    <t>BB #1 CT Sale</t>
  </si>
  <si>
    <t>BBC #7 Elevator Modernization Proj.</t>
  </si>
  <si>
    <t>BBC Srvc Air Systm Controls Upgrd</t>
  </si>
  <si>
    <t>BBC Condensate Polisher Regeratio</t>
  </si>
  <si>
    <t>BBC F Conveyor Structure Replacemen</t>
  </si>
  <si>
    <t>BBC Gate 32 Upgrades</t>
  </si>
  <si>
    <t>BBC Coal Bunker Level Measurement</t>
  </si>
  <si>
    <t>BBC Constr Elevator Repl</t>
  </si>
  <si>
    <t>Coal Blends Feeder Drive Replace</t>
  </si>
  <si>
    <t>BB 3&amp;4 Station Battery Enclosure</t>
  </si>
  <si>
    <t>Blankets (&amp; A9638)</t>
  </si>
  <si>
    <t>Supply Blanket Maintenance</t>
  </si>
  <si>
    <t>BB Coal Blending Level Instrument</t>
  </si>
  <si>
    <t>BBC L1 Conveyor Motor</t>
  </si>
  <si>
    <t>BBC M1 Tripper Chute Replacement</t>
  </si>
  <si>
    <t>BBC South S/R Auto Lube System</t>
  </si>
  <si>
    <t>BBC South Stacker Bucket Rplc</t>
  </si>
  <si>
    <t>BBC Y to Z Chute Replacement</t>
  </si>
  <si>
    <t>BB J1 Conveyor Grizzly Chutes</t>
  </si>
  <si>
    <t>BBC Purchase of 2007 Carryall</t>
  </si>
  <si>
    <t>Mobile Equipment (including: A9223,A9231,A9232,A9241,A9312, A9323)</t>
  </si>
  <si>
    <t>T1/T2 Conveyor Structure Replc</t>
  </si>
  <si>
    <t>BBC SO S/R Travel Bogies &amp; Equil</t>
  </si>
  <si>
    <t>BS 1A Hot Reheat Steam Block Valve</t>
  </si>
  <si>
    <t>BS 1B Hot Reheat Steam Block Valve</t>
  </si>
  <si>
    <t>BS 1C Hot Reheat Steam Block Valve</t>
  </si>
  <si>
    <t>Unit 1A Compressor Repl</t>
  </si>
  <si>
    <t>Unit 1B Compressor Repl</t>
  </si>
  <si>
    <t>Unit 1C Compressor Repl</t>
  </si>
  <si>
    <t>BS 1C IP Reheat Attemperator InstalL</t>
  </si>
  <si>
    <t>Bayside Generator Rewind</t>
  </si>
  <si>
    <t>BS I Travlng Wtr Screen Assmbly Rpl</t>
  </si>
  <si>
    <t>Bayside Coal Dock Dolphin Rplc</t>
  </si>
  <si>
    <t>BSP Reserve Bus 2 Switch Gear</t>
  </si>
  <si>
    <t>BSP Flume Replacement</t>
  </si>
  <si>
    <t>BS Arc Flash Project</t>
  </si>
  <si>
    <t>BS Arc Flash phase 2</t>
  </si>
  <si>
    <t>BS Natural Gas Redundant Pipeline</t>
  </si>
  <si>
    <t>Polk CT Y-Strainer Addition</t>
  </si>
  <si>
    <t>PK Elevator Replacement</t>
  </si>
  <si>
    <t>OSI Soft PI Infrastructure Upgrades</t>
  </si>
  <si>
    <t>EHS Blankets (981 - Lab Services Only)</t>
  </si>
  <si>
    <t>EHS Blankets (982 - Air Services Only)</t>
  </si>
  <si>
    <t>EHS Blankets (985 - MVC Only)</t>
  </si>
  <si>
    <t>EHS ES Project Support</t>
  </si>
  <si>
    <t>EHS ED&amp;G Indeterminates</t>
  </si>
  <si>
    <t>Capital Programs Support - Ops Management (incl F1009-Chicora/2011)</t>
  </si>
  <si>
    <t>BB3 A&amp;B FGD Tower Sparger &amp; Bowl Return Line Modifications ECRC</t>
  </si>
  <si>
    <t>BB2 APH COLD END BASKET                                                      ECRC</t>
  </si>
  <si>
    <t>BB3 Air Cannon Addition                                                            ECRC</t>
  </si>
  <si>
    <t>BB1 SCR TRANSPORT COSTS FOR VFD'S                                  ECRC</t>
  </si>
  <si>
    <t>Big Bend CEM Monitoring Units                                                  ECRC</t>
  </si>
  <si>
    <t>Parking Lot Paving (deferred debit 18610-383)</t>
  </si>
  <si>
    <t>Sidewalks/Landscaping (if parking lot doesn't happen)</t>
  </si>
  <si>
    <t>A2919 / P2919</t>
  </si>
  <si>
    <t>B1725</t>
  </si>
  <si>
    <t>B0697</t>
  </si>
  <si>
    <t>B0696</t>
  </si>
  <si>
    <t>A69xx</t>
  </si>
  <si>
    <t>B0698</t>
  </si>
  <si>
    <t>Purchase new Picnic Tables</t>
  </si>
  <si>
    <t>B0695</t>
  </si>
  <si>
    <t>B0694</t>
  </si>
  <si>
    <t>A69XX</t>
  </si>
  <si>
    <t>New Manatee Statue</t>
  </si>
  <si>
    <t>New Boat Exhibit</t>
  </si>
  <si>
    <t>New Hybrid Vehicle</t>
  </si>
  <si>
    <t>B0693</t>
  </si>
  <si>
    <t>Replace Restroom Trailer</t>
  </si>
  <si>
    <t>Concession Area Upgrade</t>
  </si>
  <si>
    <t>Updated MVC Video (teaching &amp; history, played underneath Education Center)</t>
  </si>
  <si>
    <t>Audio system Upgrade (tie throughtout the facility)</t>
  </si>
  <si>
    <t>L8843</t>
  </si>
  <si>
    <t>Y8832</t>
  </si>
  <si>
    <t xml:space="preserve">Fines Removal and Filtration System  (10% Moisture) </t>
  </si>
  <si>
    <t>New Golf Cart Trails (MVC to Community Events) (deferred debit 18610-366)</t>
  </si>
  <si>
    <t>MVC Boardwalk / Observation Deck (deferred debit 18610-378)</t>
  </si>
  <si>
    <t>Coal Unloading Dock Phase I - Improvement Account</t>
  </si>
  <si>
    <t>B2409</t>
  </si>
  <si>
    <t>B2410</t>
  </si>
  <si>
    <t>B2411</t>
  </si>
  <si>
    <t>B2412</t>
  </si>
  <si>
    <t>B2413</t>
  </si>
  <si>
    <t>B2414</t>
  </si>
  <si>
    <t>Big Bend Outage - Common Blankets</t>
  </si>
  <si>
    <t>BBC Blankets</t>
  </si>
  <si>
    <t>Blankets - FGD</t>
  </si>
  <si>
    <t>B1665</t>
  </si>
  <si>
    <t>B1727</t>
  </si>
  <si>
    <t>B1972</t>
  </si>
  <si>
    <t>Q2711</t>
  </si>
  <si>
    <t>BB3 FGD Controls Upgrade</t>
  </si>
  <si>
    <t>A8101</t>
  </si>
  <si>
    <t>Amortizable Tools</t>
  </si>
  <si>
    <t>ASU Intercooler Overhaul</t>
  </si>
  <si>
    <t>H1222</t>
  </si>
  <si>
    <t>H1221</t>
  </si>
  <si>
    <t>Auxiliary Fuel Conversion</t>
  </si>
  <si>
    <t>A8102</t>
  </si>
  <si>
    <t>Lab &amp; Test Equipment</t>
  </si>
  <si>
    <t>H1214</t>
  </si>
  <si>
    <t>Polk Units 2-5 Mk Vie Controls System</t>
  </si>
  <si>
    <t>H1219</t>
  </si>
  <si>
    <t>H1220</t>
  </si>
  <si>
    <t>Polk Unit 2 Closed Loop CS Piping Replacement</t>
  </si>
  <si>
    <t>Polk Unit 3 Closed Loop CS Piping Replacement</t>
  </si>
  <si>
    <t>Polk Unit 3 Filter Replacement</t>
  </si>
  <si>
    <t>Polk Unit 4 Filter Replacement</t>
  </si>
  <si>
    <t>Polk Unit 5 Filter Replacement</t>
  </si>
  <si>
    <t>MCC Replacement</t>
  </si>
  <si>
    <t>New Warehouse</t>
  </si>
  <si>
    <t>BB3 Tower Lined Piping Replacement</t>
  </si>
  <si>
    <t>BB4 Tower Lined Piping Replacement</t>
  </si>
  <si>
    <t>1&amp;2 Wet Stack Elevator Replacement            ECRC</t>
  </si>
  <si>
    <t>MCC Replacements</t>
  </si>
  <si>
    <t>HTSH Replacement</t>
  </si>
  <si>
    <t>CEM Analyzers                                                                                ECRC</t>
  </si>
  <si>
    <t>BB 3&amp;4 CEM Replacement</t>
  </si>
  <si>
    <t>BB 1&amp;2 Continuous Mercury Monitoring (UMACT)                          ECRC</t>
  </si>
  <si>
    <t>BB Unit 3 Continuous Mercury Monitoring (UMACT)                        ECRC</t>
  </si>
  <si>
    <t>BB Unit 4 Continuous Mercury Monitoring (UMACT)                        ECRC</t>
  </si>
  <si>
    <t>BB 1&amp;2 HCl Continuous Monitoring (UMACT)                                 ECRC</t>
  </si>
  <si>
    <t>BB Unit 3 HCl Continuous Monitoring (UMACT)                               ECRC</t>
  </si>
  <si>
    <t>BB Unit 4 HCl Continuous Monitoring (UMACT)                               ECRC</t>
  </si>
  <si>
    <t>BB1&amp;2 PM CEM                                                                                       ECRC</t>
  </si>
  <si>
    <t>Unit 1&amp;2 Cross Tie Damper                                                                 ECRC</t>
  </si>
  <si>
    <t>BB3 PM CEM                                                                                            ECRC</t>
  </si>
  <si>
    <t>FGD Vacuum Drum Replacement                                                      ECRC</t>
  </si>
  <si>
    <t>Project Balancing</t>
  </si>
  <si>
    <t>183-59 / H30</t>
  </si>
  <si>
    <t>Generation Expansion</t>
  </si>
  <si>
    <r>
      <t xml:space="preserve">Polk Units 2-5 Combined Cycle Addition - Production   </t>
    </r>
    <r>
      <rPr>
        <b/>
        <sz val="12"/>
        <color rgb="FF0000FF"/>
        <rFont val="Arial"/>
        <family val="2"/>
      </rPr>
      <t>(In-Service Jan 2017)</t>
    </r>
  </si>
  <si>
    <r>
      <t xml:space="preserve">Polk Units 2-5 Combined Cycle Addition - Transmission </t>
    </r>
    <r>
      <rPr>
        <b/>
        <sz val="12"/>
        <color rgb="FF0000FF"/>
        <rFont val="Arial"/>
        <family val="2"/>
      </rPr>
      <t>(In-Service Jan 2017)</t>
    </r>
  </si>
  <si>
    <t>Total All Capital</t>
  </si>
  <si>
    <t>Energy Supply</t>
  </si>
  <si>
    <t>5-Year Capital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</si>
</sst>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7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FF"/>
      <name val="Arial"/>
      <family val="2"/>
    </font>
    <font>
      <b/>
      <sz val="12"/>
      <color rgb="FF009900"/>
      <name val="Arial"/>
      <family val="2"/>
    </font>
    <font>
      <b/>
      <sz val="10"/>
      <color rgb="FF009900"/>
      <name val="Arial"/>
      <family val="2"/>
    </font>
    <font>
      <b/>
      <sz val="12"/>
      <color theme="1"/>
      <name val="Arial"/>
      <family val="2"/>
    </font>
    <font>
      <sz val="10"/>
      <name val="Arial Narrow"/>
      <family val="2"/>
    </font>
    <font>
      <sz val="12"/>
      <color rgb="FF00990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4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DDD9C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/>
    <xf numFmtId="0" fontId="1" fillId="0" borderId="0"/>
    <xf numFmtId="165" fontId="2" fillId="0" borderId="0">
      <alignment horizontal="left" wrapText="1"/>
    </xf>
  </cellStyleXfs>
  <cellXfs count="75">
    <xf numFmtId="0" fontId="0" fillId="0" borderId="0" xfId="0"/>
    <xf numFmtId="0" fontId="0" fillId="0" borderId="0" xfId="0" applyFill="1"/>
    <xf numFmtId="0" fontId="4" fillId="0" borderId="1" xfId="0" applyFont="1" applyFill="1" applyBorder="1"/>
    <xf numFmtId="37" fontId="3" fillId="0" borderId="1" xfId="0" applyNumberFormat="1" applyFont="1" applyFill="1" applyBorder="1" applyAlignment="1">
      <alignment horizontal="right"/>
    </xf>
    <xf numFmtId="37" fontId="3" fillId="0" borderId="2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0" fillId="0" borderId="0" xfId="0" applyBorder="1"/>
    <xf numFmtId="0" fontId="2" fillId="0" borderId="0" xfId="0" applyFont="1" applyFill="1" applyBorder="1"/>
    <xf numFmtId="37" fontId="4" fillId="0" borderId="2" xfId="1" applyNumberFormat="1" applyFont="1" applyFill="1" applyBorder="1" applyAlignment="1">
      <alignment horizontal="right"/>
    </xf>
    <xf numFmtId="37" fontId="4" fillId="0" borderId="1" xfId="1" applyNumberFormat="1" applyFont="1" applyFill="1" applyBorder="1" applyAlignment="1">
      <alignment horizontal="right"/>
    </xf>
    <xf numFmtId="0" fontId="3" fillId="0" borderId="2" xfId="0" applyFont="1" applyFill="1" applyBorder="1"/>
    <xf numFmtId="164" fontId="0" fillId="0" borderId="1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3" fillId="0" borderId="1" xfId="0" applyFont="1" applyFill="1" applyBorder="1"/>
    <xf numFmtId="164" fontId="4" fillId="0" borderId="1" xfId="1" quotePrefix="1" applyNumberFormat="1" applyFont="1" applyFill="1" applyBorder="1"/>
    <xf numFmtId="0" fontId="3" fillId="0" borderId="3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164" fontId="3" fillId="0" borderId="1" xfId="1" quotePrefix="1" applyNumberFormat="1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37" fontId="8" fillId="3" borderId="2" xfId="1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center"/>
    </xf>
    <xf numFmtId="37" fontId="8" fillId="4" borderId="1" xfId="0" applyNumberFormat="1" applyFont="1" applyFill="1" applyBorder="1" applyAlignment="1">
      <alignment horizontal="right"/>
    </xf>
    <xf numFmtId="37" fontId="8" fillId="5" borderId="2" xfId="1" applyNumberFormat="1" applyFont="1" applyFill="1" applyBorder="1" applyAlignment="1">
      <alignment horizontal="right"/>
    </xf>
    <xf numFmtId="0" fontId="9" fillId="0" borderId="1" xfId="0" applyFont="1" applyFill="1" applyBorder="1"/>
    <xf numFmtId="164" fontId="9" fillId="0" borderId="1" xfId="1" quotePrefix="1" applyNumberFormat="1" applyFont="1" applyFill="1" applyBorder="1"/>
    <xf numFmtId="0" fontId="8" fillId="6" borderId="2" xfId="0" applyFont="1" applyFill="1" applyBorder="1" applyAlignment="1">
      <alignment horizontal="center"/>
    </xf>
    <xf numFmtId="37" fontId="8" fillId="6" borderId="2" xfId="1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center"/>
    </xf>
    <xf numFmtId="0" fontId="8" fillId="6" borderId="2" xfId="0" applyFont="1" applyFill="1" applyBorder="1" applyAlignment="1">
      <alignment horizontal="right"/>
    </xf>
    <xf numFmtId="0" fontId="7" fillId="0" borderId="1" xfId="0" applyFont="1" applyFill="1" applyBorder="1"/>
    <xf numFmtId="164" fontId="7" fillId="0" borderId="1" xfId="1" quotePrefix="1" applyNumberFormat="1" applyFont="1" applyFill="1" applyBorder="1"/>
    <xf numFmtId="0" fontId="8" fillId="3" borderId="1" xfId="0" applyFont="1" applyFill="1" applyBorder="1" applyAlignment="1">
      <alignment horizontal="center"/>
    </xf>
    <xf numFmtId="37" fontId="8" fillId="3" borderId="1" xfId="1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164" fontId="3" fillId="0" borderId="2" xfId="1" quotePrefix="1" applyNumberFormat="1" applyFont="1" applyFill="1" applyBorder="1"/>
    <xf numFmtId="49" fontId="0" fillId="0" borderId="2" xfId="0" applyNumberFormat="1" applyFont="1" applyFill="1" applyBorder="1" applyAlignment="1">
      <alignment horizontal="center"/>
    </xf>
    <xf numFmtId="0" fontId="9" fillId="0" borderId="2" xfId="0" applyFont="1" applyFill="1" applyBorder="1"/>
    <xf numFmtId="164" fontId="9" fillId="0" borderId="2" xfId="1" quotePrefix="1" applyNumberFormat="1" applyFont="1" applyFill="1" applyBorder="1"/>
    <xf numFmtId="164" fontId="3" fillId="0" borderId="1" xfId="1" applyNumberFormat="1" applyFont="1" applyFill="1" applyBorder="1" applyAlignment="1">
      <alignment horizontal="right"/>
    </xf>
    <xf numFmtId="164" fontId="13" fillId="0" borderId="1" xfId="1" quotePrefix="1" applyNumberFormat="1" applyFont="1" applyFill="1" applyBorder="1"/>
    <xf numFmtId="164" fontId="14" fillId="0" borderId="2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4" fillId="0" borderId="0" xfId="0" applyFont="1" applyFill="1" applyBorder="1"/>
    <xf numFmtId="0" fontId="7" fillId="8" borderId="4" xfId="0" applyFont="1" applyFill="1" applyBorder="1" applyAlignment="1">
      <alignment horizontal="left"/>
    </xf>
    <xf numFmtId="37" fontId="7" fillId="8" borderId="1" xfId="0" applyNumberFormat="1" applyFont="1" applyFill="1" applyBorder="1" applyAlignment="1">
      <alignment horizontal="right"/>
    </xf>
    <xf numFmtId="0" fontId="7" fillId="8" borderId="1" xfId="0" applyFont="1" applyFill="1" applyBorder="1"/>
    <xf numFmtId="164" fontId="7" fillId="8" borderId="1" xfId="1" quotePrefix="1" applyNumberFormat="1" applyFont="1" applyFill="1" applyBorder="1"/>
    <xf numFmtId="0" fontId="7" fillId="8" borderId="1" xfId="0" applyFont="1" applyFill="1" applyBorder="1" applyAlignment="1">
      <alignment horizontal="left"/>
    </xf>
    <xf numFmtId="164" fontId="4" fillId="0" borderId="2" xfId="1" quotePrefix="1" applyNumberFormat="1" applyFont="1" applyFill="1" applyBorder="1"/>
    <xf numFmtId="0" fontId="0" fillId="0" borderId="0" xfId="0" applyFill="1" applyBorder="1"/>
    <xf numFmtId="0" fontId="8" fillId="8" borderId="4" xfId="0" applyFont="1" applyFill="1" applyBorder="1" applyAlignment="1">
      <alignment horizontal="center"/>
    </xf>
    <xf numFmtId="37" fontId="8" fillId="8" borderId="1" xfId="0" applyNumberFormat="1" applyFont="1" applyFill="1" applyBorder="1" applyAlignment="1">
      <alignment horizontal="right"/>
    </xf>
    <xf numFmtId="0" fontId="8" fillId="9" borderId="2" xfId="0" applyFont="1" applyFill="1" applyBorder="1" applyAlignment="1">
      <alignment horizontal="center"/>
    </xf>
    <xf numFmtId="164" fontId="15" fillId="0" borderId="1" xfId="1" quotePrefix="1" applyNumberFormat="1" applyFont="1" applyFill="1" applyBorder="1"/>
    <xf numFmtId="164" fontId="0" fillId="0" borderId="5" xfId="0" applyNumberFormat="1" applyFont="1" applyFill="1" applyBorder="1" applyAlignment="1">
      <alignment horizontal="center"/>
    </xf>
    <xf numFmtId="0" fontId="4" fillId="0" borderId="4" xfId="0" applyFont="1" applyFill="1" applyBorder="1"/>
    <xf numFmtId="164" fontId="11" fillId="0" borderId="2" xfId="0" applyNumberFormat="1" applyFont="1" applyFill="1" applyBorder="1" applyAlignment="1">
      <alignment horizontal="center"/>
    </xf>
    <xf numFmtId="164" fontId="17" fillId="0" borderId="1" xfId="1" quotePrefix="1" applyNumberFormat="1" applyFont="1" applyFill="1" applyBorder="1"/>
    <xf numFmtId="0" fontId="7" fillId="10" borderId="1" xfId="0" applyFont="1" applyFill="1" applyBorder="1"/>
    <xf numFmtId="0" fontId="18" fillId="10" borderId="1" xfId="0" applyFont="1" applyFill="1" applyBorder="1" applyAlignment="1">
      <alignment horizontal="center"/>
    </xf>
    <xf numFmtId="0" fontId="4" fillId="0" borderId="6" xfId="0" applyFont="1" applyFill="1" applyBorder="1"/>
    <xf numFmtId="0" fontId="8" fillId="5" borderId="6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0" fillId="0" borderId="2" xfId="0" quotePrefix="1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</cellXfs>
  <cellStyles count="16">
    <cellStyle name="Comma" xfId="1" builtinId="3"/>
    <cellStyle name="Comma 2" xfId="4"/>
    <cellStyle name="Comma 2 2" xfId="5"/>
    <cellStyle name="Comma 3" xfId="6"/>
    <cellStyle name="Comma0" xfId="7"/>
    <cellStyle name="Currency 2" xfId="8"/>
    <cellStyle name="Currency 2 2" xfId="9"/>
    <cellStyle name="Currency0" xfId="10"/>
    <cellStyle name="Date" xfId="11"/>
    <cellStyle name="Fixed" xfId="12"/>
    <cellStyle name="Normal" xfId="0" builtinId="0"/>
    <cellStyle name="Normal 2" xfId="3"/>
    <cellStyle name="Normal 2 2" xfId="13"/>
    <cellStyle name="Normal 2 3" xfId="14"/>
    <cellStyle name="Normal 3" xfId="2"/>
    <cellStyle name="Style 1" xfId="15"/>
  </cellStyles>
  <dxfs count="0"/>
  <tableStyles count="0" defaultTableStyle="TableStyleMedium9" defaultPivotStyle="PivotStyleLight16"/>
  <colors>
    <mruColors>
      <color rgb="FFFFFF66"/>
      <color rgb="FFDDD9C4"/>
      <color rgb="FFFFFF99"/>
      <color rgb="FF969696"/>
      <color rgb="FF009900"/>
      <color rgb="FF0000FF"/>
      <color rgb="FF008000"/>
      <color rgb="FFFFFFCC"/>
      <color rgb="FF33CC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646"/>
  <sheetViews>
    <sheetView tabSelected="1" zoomScale="90" zoomScaleNormal="90" workbookViewId="0">
      <pane ySplit="3" topLeftCell="A612" activePane="bottomLeft" state="frozen"/>
      <selection pane="bottomLeft" activeCell="C648" sqref="C648"/>
    </sheetView>
  </sheetViews>
  <sheetFormatPr defaultColWidth="8.85546875" defaultRowHeight="12.75" x14ac:dyDescent="0.2"/>
  <cols>
    <col min="1" max="1" width="21.28515625" customWidth="1"/>
    <col min="2" max="2" width="79.7109375" style="1" customWidth="1"/>
    <col min="3" max="8" width="18.7109375" style="1" customWidth="1"/>
    <col min="9" max="16384" width="8.85546875" style="6"/>
  </cols>
  <sheetData>
    <row r="1" spans="1:8" ht="18" x14ac:dyDescent="0.25">
      <c r="A1" s="73" t="s">
        <v>953</v>
      </c>
      <c r="B1" s="74"/>
      <c r="C1" s="74"/>
      <c r="D1" s="74"/>
      <c r="E1" s="74"/>
      <c r="F1" s="74"/>
      <c r="G1" s="74"/>
      <c r="H1" s="74"/>
    </row>
    <row r="2" spans="1:8" ht="18" x14ac:dyDescent="0.25">
      <c r="A2" s="73" t="s">
        <v>954</v>
      </c>
      <c r="B2" s="74"/>
      <c r="C2" s="74"/>
      <c r="D2" s="74"/>
      <c r="E2" s="74"/>
      <c r="F2" s="74"/>
      <c r="G2" s="74"/>
      <c r="H2" s="74"/>
    </row>
    <row r="3" spans="1:8" customFormat="1" ht="50.1" customHeight="1" x14ac:dyDescent="0.25">
      <c r="A3" s="19" t="s">
        <v>183</v>
      </c>
      <c r="B3" s="20" t="s">
        <v>184</v>
      </c>
      <c r="C3" s="21">
        <v>2012</v>
      </c>
      <c r="D3" s="21">
        <v>2013</v>
      </c>
      <c r="E3" s="21">
        <v>2014</v>
      </c>
      <c r="F3" s="21">
        <v>2015</v>
      </c>
      <c r="G3" s="21">
        <v>2016</v>
      </c>
      <c r="H3" s="22" t="s">
        <v>810</v>
      </c>
    </row>
    <row r="4" spans="1:8" s="7" customFormat="1" ht="15.75" x14ac:dyDescent="0.25">
      <c r="A4" s="39"/>
      <c r="B4" s="13" t="s">
        <v>0</v>
      </c>
      <c r="C4" s="9"/>
      <c r="D4" s="9"/>
      <c r="E4" s="9"/>
      <c r="F4" s="9"/>
      <c r="G4" s="9"/>
      <c r="H4" s="3"/>
    </row>
    <row r="5" spans="1:8" s="7" customFormat="1" ht="15.75" x14ac:dyDescent="0.25">
      <c r="A5" s="12" t="s">
        <v>720</v>
      </c>
      <c r="B5" s="2" t="s">
        <v>811</v>
      </c>
      <c r="C5" s="14"/>
      <c r="D5" s="14">
        <v>0</v>
      </c>
      <c r="E5" s="14">
        <v>0</v>
      </c>
      <c r="F5" s="14">
        <v>0</v>
      </c>
      <c r="G5" s="29"/>
      <c r="H5" s="18">
        <f t="shared" ref="H5:H37" si="0">SUM(C5:G5)</f>
        <v>0</v>
      </c>
    </row>
    <row r="6" spans="1:8" s="7" customFormat="1" ht="15.75" x14ac:dyDescent="0.25">
      <c r="A6" s="12" t="s">
        <v>721</v>
      </c>
      <c r="B6" s="2" t="s">
        <v>812</v>
      </c>
      <c r="C6" s="14"/>
      <c r="D6" s="14">
        <v>0</v>
      </c>
      <c r="E6" s="14">
        <v>0</v>
      </c>
      <c r="F6" s="14">
        <v>0</v>
      </c>
      <c r="G6" s="14"/>
      <c r="H6" s="18">
        <f t="shared" si="0"/>
        <v>0</v>
      </c>
    </row>
    <row r="7" spans="1:8" s="7" customFormat="1" ht="15.75" x14ac:dyDescent="0.25">
      <c r="A7" s="12" t="s">
        <v>722</v>
      </c>
      <c r="B7" s="2" t="s">
        <v>813</v>
      </c>
      <c r="C7" s="14"/>
      <c r="D7" s="14">
        <v>0</v>
      </c>
      <c r="E7" s="14">
        <v>0</v>
      </c>
      <c r="F7" s="14">
        <v>0</v>
      </c>
      <c r="G7" s="14"/>
      <c r="H7" s="18">
        <f t="shared" si="0"/>
        <v>0</v>
      </c>
    </row>
    <row r="8" spans="1:8" s="7" customFormat="1" ht="15.75" x14ac:dyDescent="0.25">
      <c r="A8" s="12" t="s">
        <v>723</v>
      </c>
      <c r="B8" s="2" t="s">
        <v>470</v>
      </c>
      <c r="C8" s="14"/>
      <c r="D8" s="14">
        <v>0</v>
      </c>
      <c r="E8" s="14">
        <v>0</v>
      </c>
      <c r="F8" s="14">
        <v>0</v>
      </c>
      <c r="G8" s="14"/>
      <c r="H8" s="18">
        <f t="shared" si="0"/>
        <v>0</v>
      </c>
    </row>
    <row r="9" spans="1:8" s="7" customFormat="1" ht="15.75" x14ac:dyDescent="0.25">
      <c r="A9" s="12" t="s">
        <v>469</v>
      </c>
      <c r="B9" s="2" t="s">
        <v>470</v>
      </c>
      <c r="C9" s="14"/>
      <c r="D9" s="14">
        <v>0</v>
      </c>
      <c r="E9" s="14">
        <v>0</v>
      </c>
      <c r="F9" s="14">
        <v>0</v>
      </c>
      <c r="G9" s="14"/>
      <c r="H9" s="18">
        <f t="shared" si="0"/>
        <v>0</v>
      </c>
    </row>
    <row r="10" spans="1:8" s="7" customFormat="1" ht="15.75" x14ac:dyDescent="0.25">
      <c r="A10" s="12" t="s">
        <v>471</v>
      </c>
      <c r="B10" s="2" t="s">
        <v>472</v>
      </c>
      <c r="C10" s="14"/>
      <c r="D10" s="14">
        <v>0</v>
      </c>
      <c r="E10" s="14">
        <v>0</v>
      </c>
      <c r="F10" s="14">
        <v>0</v>
      </c>
      <c r="G10" s="14"/>
      <c r="H10" s="18">
        <f t="shared" si="0"/>
        <v>0</v>
      </c>
    </row>
    <row r="11" spans="1:8" s="7" customFormat="1" ht="15.75" x14ac:dyDescent="0.25">
      <c r="A11" s="12"/>
      <c r="B11" s="2" t="s">
        <v>467</v>
      </c>
      <c r="C11" s="14"/>
      <c r="D11" s="14">
        <v>0</v>
      </c>
      <c r="E11" s="14">
        <v>0</v>
      </c>
      <c r="F11" s="14">
        <v>575000</v>
      </c>
      <c r="G11" s="14"/>
      <c r="H11" s="18">
        <f t="shared" si="0"/>
        <v>575000</v>
      </c>
    </row>
    <row r="12" spans="1:8" s="7" customFormat="1" ht="15.75" x14ac:dyDescent="0.25">
      <c r="A12" s="12"/>
      <c r="B12" s="2" t="s">
        <v>40</v>
      </c>
      <c r="C12" s="14"/>
      <c r="D12" s="14">
        <v>0</v>
      </c>
      <c r="E12" s="14">
        <v>0</v>
      </c>
      <c r="F12" s="14">
        <v>1500000</v>
      </c>
      <c r="G12" s="14"/>
      <c r="H12" s="18">
        <f t="shared" si="0"/>
        <v>1500000</v>
      </c>
    </row>
    <row r="13" spans="1:8" s="7" customFormat="1" ht="15.75" x14ac:dyDescent="0.25">
      <c r="A13" s="12"/>
      <c r="B13" s="2" t="s">
        <v>49</v>
      </c>
      <c r="C13" s="14"/>
      <c r="D13" s="14">
        <v>0</v>
      </c>
      <c r="E13" s="14">
        <v>0</v>
      </c>
      <c r="F13" s="14">
        <v>500000</v>
      </c>
      <c r="G13" s="14"/>
      <c r="H13" s="18">
        <f t="shared" si="0"/>
        <v>500000</v>
      </c>
    </row>
    <row r="14" spans="1:8" s="7" customFormat="1" ht="15.75" x14ac:dyDescent="0.25">
      <c r="A14" s="12"/>
      <c r="B14" s="2" t="s">
        <v>50</v>
      </c>
      <c r="C14" s="14"/>
      <c r="D14" s="14">
        <v>0</v>
      </c>
      <c r="E14" s="14">
        <v>0</v>
      </c>
      <c r="F14" s="14">
        <v>500000</v>
      </c>
      <c r="G14" s="14"/>
      <c r="H14" s="18">
        <f t="shared" si="0"/>
        <v>500000</v>
      </c>
    </row>
    <row r="15" spans="1:8" s="7" customFormat="1" ht="15.75" x14ac:dyDescent="0.25">
      <c r="A15" s="12"/>
      <c r="B15" s="2" t="s">
        <v>43</v>
      </c>
      <c r="C15" s="14"/>
      <c r="D15" s="14">
        <v>0</v>
      </c>
      <c r="E15" s="14">
        <v>0</v>
      </c>
      <c r="F15" s="14">
        <v>300000</v>
      </c>
      <c r="G15" s="14"/>
      <c r="H15" s="18">
        <f t="shared" si="0"/>
        <v>300000</v>
      </c>
    </row>
    <row r="16" spans="1:8" s="7" customFormat="1" ht="15.75" x14ac:dyDescent="0.25">
      <c r="A16" s="12"/>
      <c r="B16" s="2" t="s">
        <v>14</v>
      </c>
      <c r="C16" s="14"/>
      <c r="D16" s="14">
        <v>0</v>
      </c>
      <c r="E16" s="14">
        <v>0</v>
      </c>
      <c r="F16" s="14">
        <v>1000000</v>
      </c>
      <c r="G16" s="14"/>
      <c r="H16" s="18">
        <f t="shared" si="0"/>
        <v>1000000</v>
      </c>
    </row>
    <row r="17" spans="1:8" s="7" customFormat="1" ht="15.75" x14ac:dyDescent="0.25">
      <c r="A17" s="12"/>
      <c r="B17" s="2" t="s">
        <v>28</v>
      </c>
      <c r="C17" s="14"/>
      <c r="D17" s="14">
        <v>0</v>
      </c>
      <c r="E17" s="14">
        <v>0</v>
      </c>
      <c r="F17" s="14">
        <v>275000</v>
      </c>
      <c r="G17" s="14"/>
      <c r="H17" s="18">
        <f t="shared" si="0"/>
        <v>275000</v>
      </c>
    </row>
    <row r="18" spans="1:8" s="7" customFormat="1" ht="15.75" x14ac:dyDescent="0.25">
      <c r="A18" s="12"/>
      <c r="B18" s="2" t="s">
        <v>10</v>
      </c>
      <c r="C18" s="14"/>
      <c r="D18" s="14">
        <v>250000</v>
      </c>
      <c r="E18" s="14">
        <v>0</v>
      </c>
      <c r="F18" s="14">
        <v>275000</v>
      </c>
      <c r="G18" s="14"/>
      <c r="H18" s="18">
        <f t="shared" si="0"/>
        <v>525000</v>
      </c>
    </row>
    <row r="19" spans="1:8" s="7" customFormat="1" ht="15.75" x14ac:dyDescent="0.25">
      <c r="A19" s="12"/>
      <c r="B19" s="2" t="s">
        <v>473</v>
      </c>
      <c r="C19" s="14"/>
      <c r="D19" s="14">
        <v>0</v>
      </c>
      <c r="E19" s="14">
        <v>0</v>
      </c>
      <c r="F19" s="14">
        <v>1000000</v>
      </c>
      <c r="G19" s="14"/>
      <c r="H19" s="18">
        <f t="shared" si="0"/>
        <v>1000000</v>
      </c>
    </row>
    <row r="20" spans="1:8" s="7" customFormat="1" ht="15.75" x14ac:dyDescent="0.25">
      <c r="A20" s="12"/>
      <c r="B20" s="2" t="s">
        <v>23</v>
      </c>
      <c r="C20" s="14"/>
      <c r="D20" s="14">
        <v>0</v>
      </c>
      <c r="E20" s="14">
        <v>0</v>
      </c>
      <c r="F20" s="14">
        <v>2000000</v>
      </c>
      <c r="G20" s="14"/>
      <c r="H20" s="18">
        <f t="shared" si="0"/>
        <v>2000000</v>
      </c>
    </row>
    <row r="21" spans="1:8" s="7" customFormat="1" ht="15.75" x14ac:dyDescent="0.25">
      <c r="A21" s="12"/>
      <c r="B21" s="2" t="s">
        <v>29</v>
      </c>
      <c r="C21" s="14"/>
      <c r="D21" s="14">
        <v>0</v>
      </c>
      <c r="E21" s="14">
        <v>0</v>
      </c>
      <c r="F21" s="14">
        <v>2000000</v>
      </c>
      <c r="G21" s="14"/>
      <c r="H21" s="18">
        <f t="shared" si="0"/>
        <v>2000000</v>
      </c>
    </row>
    <row r="22" spans="1:8" s="7" customFormat="1" ht="15.75" x14ac:dyDescent="0.25">
      <c r="A22" s="12"/>
      <c r="B22" s="2" t="s">
        <v>54</v>
      </c>
      <c r="C22" s="14"/>
      <c r="D22" s="14">
        <v>0</v>
      </c>
      <c r="E22" s="14">
        <v>0</v>
      </c>
      <c r="F22" s="14">
        <v>1750000</v>
      </c>
      <c r="G22" s="14"/>
      <c r="H22" s="18">
        <f t="shared" si="0"/>
        <v>1750000</v>
      </c>
    </row>
    <row r="23" spans="1:8" s="7" customFormat="1" ht="15.75" x14ac:dyDescent="0.25">
      <c r="A23" s="12"/>
      <c r="B23" s="2" t="s">
        <v>57</v>
      </c>
      <c r="C23" s="14"/>
      <c r="D23" s="14">
        <v>0</v>
      </c>
      <c r="E23" s="14">
        <v>0</v>
      </c>
      <c r="F23" s="14">
        <v>500000</v>
      </c>
      <c r="G23" s="14"/>
      <c r="H23" s="18">
        <f t="shared" si="0"/>
        <v>500000</v>
      </c>
    </row>
    <row r="24" spans="1:8" s="7" customFormat="1" ht="15.75" x14ac:dyDescent="0.25">
      <c r="A24" s="12"/>
      <c r="B24" s="2" t="s">
        <v>51</v>
      </c>
      <c r="C24" s="14"/>
      <c r="D24" s="14">
        <v>0</v>
      </c>
      <c r="E24" s="14">
        <v>0</v>
      </c>
      <c r="F24" s="14">
        <v>12500000</v>
      </c>
      <c r="G24" s="14"/>
      <c r="H24" s="18">
        <f t="shared" si="0"/>
        <v>12500000</v>
      </c>
    </row>
    <row r="25" spans="1:8" s="7" customFormat="1" ht="15.75" x14ac:dyDescent="0.25">
      <c r="A25" s="12"/>
      <c r="B25" s="2" t="s">
        <v>468</v>
      </c>
      <c r="C25" s="14"/>
      <c r="D25" s="14">
        <v>0</v>
      </c>
      <c r="E25" s="14">
        <v>0</v>
      </c>
      <c r="F25" s="14">
        <v>4000000</v>
      </c>
      <c r="G25" s="14"/>
      <c r="H25" s="18">
        <f t="shared" si="0"/>
        <v>4000000</v>
      </c>
    </row>
    <row r="26" spans="1:8" s="7" customFormat="1" ht="15.75" x14ac:dyDescent="0.25">
      <c r="A26" s="12"/>
      <c r="B26" s="2" t="s">
        <v>71</v>
      </c>
      <c r="C26" s="14"/>
      <c r="D26" s="14">
        <v>0</v>
      </c>
      <c r="E26" s="14">
        <v>0</v>
      </c>
      <c r="F26" s="14">
        <v>2000000</v>
      </c>
      <c r="G26" s="14"/>
      <c r="H26" s="18">
        <f t="shared" si="0"/>
        <v>2000000</v>
      </c>
    </row>
    <row r="27" spans="1:8" s="7" customFormat="1" ht="15.75" x14ac:dyDescent="0.25">
      <c r="A27" s="12"/>
      <c r="B27" s="2" t="s">
        <v>928</v>
      </c>
      <c r="C27" s="14"/>
      <c r="D27" s="14"/>
      <c r="E27" s="14"/>
      <c r="F27" s="14">
        <v>1000000</v>
      </c>
      <c r="G27" s="14"/>
      <c r="H27" s="18">
        <f t="shared" si="0"/>
        <v>1000000</v>
      </c>
    </row>
    <row r="28" spans="1:8" s="7" customFormat="1" ht="15.75" x14ac:dyDescent="0.25">
      <c r="A28" s="12"/>
      <c r="B28" s="2" t="s">
        <v>60</v>
      </c>
      <c r="C28" s="14"/>
      <c r="D28" s="14">
        <v>0</v>
      </c>
      <c r="E28" s="14">
        <v>0</v>
      </c>
      <c r="F28" s="14">
        <v>2000000</v>
      </c>
      <c r="G28" s="14"/>
      <c r="H28" s="18">
        <f t="shared" si="0"/>
        <v>2000000</v>
      </c>
    </row>
    <row r="29" spans="1:8" s="7" customFormat="1" ht="15.75" x14ac:dyDescent="0.25">
      <c r="A29" s="12"/>
      <c r="B29" s="2" t="s">
        <v>4</v>
      </c>
      <c r="C29" s="14"/>
      <c r="D29" s="14">
        <v>0</v>
      </c>
      <c r="E29" s="14">
        <v>0</v>
      </c>
      <c r="F29" s="14">
        <v>1500000</v>
      </c>
      <c r="G29" s="14"/>
      <c r="H29" s="18">
        <f t="shared" si="0"/>
        <v>1500000</v>
      </c>
    </row>
    <row r="30" spans="1:8" s="7" customFormat="1" ht="15.75" x14ac:dyDescent="0.25">
      <c r="A30" s="12"/>
      <c r="B30" s="2" t="s">
        <v>5</v>
      </c>
      <c r="C30" s="14"/>
      <c r="D30" s="14">
        <v>0</v>
      </c>
      <c r="E30" s="14">
        <v>0</v>
      </c>
      <c r="F30" s="14">
        <v>1250000</v>
      </c>
      <c r="G30" s="14"/>
      <c r="H30" s="18">
        <f t="shared" si="0"/>
        <v>1250000</v>
      </c>
    </row>
    <row r="31" spans="1:8" s="7" customFormat="1" ht="15.75" x14ac:dyDescent="0.25">
      <c r="A31" s="12"/>
      <c r="B31" s="2" t="s">
        <v>56</v>
      </c>
      <c r="C31" s="14"/>
      <c r="D31" s="14">
        <v>0</v>
      </c>
      <c r="E31" s="14">
        <v>0</v>
      </c>
      <c r="F31" s="14">
        <v>4000000</v>
      </c>
      <c r="G31" s="14"/>
      <c r="H31" s="18">
        <f t="shared" si="0"/>
        <v>4000000</v>
      </c>
    </row>
    <row r="32" spans="1:8" s="7" customFormat="1" ht="15.75" x14ac:dyDescent="0.25">
      <c r="A32" s="12"/>
      <c r="B32" s="2" t="s">
        <v>6</v>
      </c>
      <c r="C32" s="14"/>
      <c r="D32" s="14">
        <v>0</v>
      </c>
      <c r="E32" s="14">
        <v>0</v>
      </c>
      <c r="F32" s="14">
        <v>4000000</v>
      </c>
      <c r="G32" s="14"/>
      <c r="H32" s="18">
        <f t="shared" si="0"/>
        <v>4000000</v>
      </c>
    </row>
    <row r="33" spans="1:12" s="7" customFormat="1" ht="15.75" x14ac:dyDescent="0.25">
      <c r="A33" s="12"/>
      <c r="B33" s="2" t="s">
        <v>7</v>
      </c>
      <c r="C33" s="14"/>
      <c r="D33" s="14">
        <v>0</v>
      </c>
      <c r="E33" s="14">
        <v>0</v>
      </c>
      <c r="F33" s="14">
        <v>500000</v>
      </c>
      <c r="G33" s="14"/>
      <c r="H33" s="18">
        <f t="shared" si="0"/>
        <v>500000</v>
      </c>
    </row>
    <row r="34" spans="1:12" s="7" customFormat="1" ht="15.75" x14ac:dyDescent="0.25">
      <c r="A34" s="12"/>
      <c r="B34" s="2" t="s">
        <v>44</v>
      </c>
      <c r="C34" s="14"/>
      <c r="D34" s="14">
        <v>0</v>
      </c>
      <c r="E34" s="14">
        <v>0</v>
      </c>
      <c r="F34" s="14">
        <v>1500000</v>
      </c>
      <c r="G34" s="14"/>
      <c r="H34" s="18">
        <f t="shared" si="0"/>
        <v>1500000</v>
      </c>
    </row>
    <row r="35" spans="1:12" s="7" customFormat="1" ht="15.75" x14ac:dyDescent="0.25">
      <c r="A35" s="12"/>
      <c r="B35" s="2" t="s">
        <v>8</v>
      </c>
      <c r="C35" s="14"/>
      <c r="D35" s="14">
        <v>0</v>
      </c>
      <c r="E35" s="14">
        <v>0</v>
      </c>
      <c r="F35" s="14">
        <v>2500000</v>
      </c>
      <c r="G35" s="14"/>
      <c r="H35" s="18">
        <f t="shared" si="0"/>
        <v>2500000</v>
      </c>
    </row>
    <row r="36" spans="1:12" s="7" customFormat="1" ht="15.75" x14ac:dyDescent="0.25">
      <c r="A36" s="12"/>
      <c r="B36" s="2" t="s">
        <v>474</v>
      </c>
      <c r="C36" s="14"/>
      <c r="D36" s="14">
        <v>0</v>
      </c>
      <c r="E36" s="14">
        <v>12600000</v>
      </c>
      <c r="F36" s="14">
        <v>-12600000</v>
      </c>
      <c r="G36" s="14"/>
      <c r="H36" s="18">
        <f t="shared" si="0"/>
        <v>0</v>
      </c>
    </row>
    <row r="37" spans="1:12" s="7" customFormat="1" ht="15.75" x14ac:dyDescent="0.25">
      <c r="A37" s="12" t="s">
        <v>195</v>
      </c>
      <c r="B37" s="2" t="s">
        <v>58</v>
      </c>
      <c r="C37" s="14">
        <f>450000+50000</f>
        <v>500000</v>
      </c>
      <c r="D37" s="14">
        <v>500000</v>
      </c>
      <c r="E37" s="14">
        <v>500000</v>
      </c>
      <c r="F37" s="14">
        <v>1500000</v>
      </c>
      <c r="G37" s="14">
        <v>500000</v>
      </c>
      <c r="H37" s="18">
        <f t="shared" si="0"/>
        <v>3500000</v>
      </c>
    </row>
    <row r="38" spans="1:12" s="7" customFormat="1" ht="15.75" x14ac:dyDescent="0.25">
      <c r="A38" s="49"/>
      <c r="B38" s="49" t="s">
        <v>75</v>
      </c>
      <c r="C38" s="50">
        <f>SUM(C5:C37)</f>
        <v>500000</v>
      </c>
      <c r="D38" s="50">
        <f>SUM(D5:D37)</f>
        <v>750000</v>
      </c>
      <c r="E38" s="50">
        <f>SUM(E5:E37)</f>
        <v>13100000</v>
      </c>
      <c r="F38" s="50">
        <f>SUM(F5:F37)</f>
        <v>37825000</v>
      </c>
      <c r="G38" s="50">
        <f>SUM(G5:G37)</f>
        <v>500000</v>
      </c>
      <c r="H38" s="50">
        <f>SUM(C38:G38)</f>
        <v>52675000</v>
      </c>
      <c r="I38" s="17"/>
      <c r="J38" s="17"/>
      <c r="K38" s="17"/>
      <c r="L38" s="17"/>
    </row>
    <row r="39" spans="1:12" s="7" customFormat="1" ht="15.75" x14ac:dyDescent="0.25">
      <c r="A39" s="12"/>
      <c r="B39" s="5"/>
      <c r="C39" s="8"/>
      <c r="D39" s="8"/>
      <c r="E39" s="8"/>
      <c r="F39" s="8"/>
      <c r="G39" s="8"/>
      <c r="H39" s="4"/>
    </row>
    <row r="40" spans="1:12" s="7" customFormat="1" ht="15.75" x14ac:dyDescent="0.25">
      <c r="A40" s="12"/>
      <c r="B40" s="13" t="s">
        <v>1</v>
      </c>
      <c r="C40" s="9"/>
      <c r="D40" s="9"/>
      <c r="E40" s="9"/>
      <c r="F40" s="9"/>
      <c r="G40" s="9"/>
      <c r="H40" s="3"/>
    </row>
    <row r="41" spans="1:12" s="7" customFormat="1" ht="15.75" x14ac:dyDescent="0.25">
      <c r="A41" s="12" t="s">
        <v>475</v>
      </c>
      <c r="B41" s="2" t="s">
        <v>476</v>
      </c>
      <c r="C41" s="14"/>
      <c r="D41" s="14">
        <v>0</v>
      </c>
      <c r="E41" s="14">
        <v>0</v>
      </c>
      <c r="F41" s="14">
        <v>0</v>
      </c>
      <c r="G41" s="14">
        <v>0</v>
      </c>
      <c r="H41" s="18">
        <f t="shared" ref="H41:H81" si="1">SUM(C41:G41)</f>
        <v>0</v>
      </c>
    </row>
    <row r="42" spans="1:12" s="7" customFormat="1" ht="15.75" x14ac:dyDescent="0.25">
      <c r="A42" s="12" t="s">
        <v>477</v>
      </c>
      <c r="B42" s="2" t="s">
        <v>478</v>
      </c>
      <c r="C42" s="14">
        <v>35000</v>
      </c>
      <c r="D42" s="14">
        <v>0</v>
      </c>
      <c r="E42" s="14">
        <v>0</v>
      </c>
      <c r="F42" s="14">
        <v>0</v>
      </c>
      <c r="G42" s="14">
        <v>0</v>
      </c>
      <c r="H42" s="18">
        <f t="shared" si="1"/>
        <v>35000</v>
      </c>
    </row>
    <row r="43" spans="1:12" s="7" customFormat="1" ht="15.75" x14ac:dyDescent="0.25">
      <c r="A43" s="12" t="s">
        <v>479</v>
      </c>
      <c r="B43" s="2" t="s">
        <v>480</v>
      </c>
      <c r="C43" s="14"/>
      <c r="D43" s="14">
        <v>0</v>
      </c>
      <c r="E43" s="14">
        <v>0</v>
      </c>
      <c r="F43" s="14">
        <v>0</v>
      </c>
      <c r="G43" s="14">
        <v>500000</v>
      </c>
      <c r="H43" s="18">
        <f t="shared" si="1"/>
        <v>500000</v>
      </c>
    </row>
    <row r="44" spans="1:12" s="7" customFormat="1" ht="15.75" x14ac:dyDescent="0.25">
      <c r="A44" s="12" t="s">
        <v>481</v>
      </c>
      <c r="B44" s="2" t="s">
        <v>482</v>
      </c>
      <c r="C44" s="14">
        <v>8500</v>
      </c>
      <c r="D44" s="14">
        <v>0</v>
      </c>
      <c r="E44" s="14">
        <v>0</v>
      </c>
      <c r="F44" s="14">
        <v>0</v>
      </c>
      <c r="G44" s="14">
        <v>0</v>
      </c>
      <c r="H44" s="18">
        <f t="shared" si="1"/>
        <v>8500</v>
      </c>
    </row>
    <row r="45" spans="1:12" s="7" customFormat="1" ht="15.75" x14ac:dyDescent="0.25">
      <c r="A45" s="12" t="s">
        <v>483</v>
      </c>
      <c r="B45" s="2" t="s">
        <v>484</v>
      </c>
      <c r="C45" s="14">
        <v>8500</v>
      </c>
      <c r="D45" s="14">
        <v>0</v>
      </c>
      <c r="E45" s="14">
        <v>0</v>
      </c>
      <c r="F45" s="14">
        <v>0</v>
      </c>
      <c r="G45" s="14">
        <v>0</v>
      </c>
      <c r="H45" s="18">
        <f t="shared" si="1"/>
        <v>8500</v>
      </c>
    </row>
    <row r="46" spans="1:12" s="7" customFormat="1" ht="15.75" x14ac:dyDescent="0.25">
      <c r="A46" s="12" t="s">
        <v>485</v>
      </c>
      <c r="B46" s="2" t="s">
        <v>486</v>
      </c>
      <c r="C46" s="14">
        <v>6001</v>
      </c>
      <c r="D46" s="14">
        <v>0</v>
      </c>
      <c r="E46" s="14">
        <v>0</v>
      </c>
      <c r="F46" s="14">
        <v>0</v>
      </c>
      <c r="G46" s="14">
        <v>0</v>
      </c>
      <c r="H46" s="18">
        <f t="shared" si="1"/>
        <v>6001</v>
      </c>
    </row>
    <row r="47" spans="1:12" s="7" customFormat="1" ht="15.75" x14ac:dyDescent="0.25">
      <c r="A47" s="12" t="s">
        <v>487</v>
      </c>
      <c r="B47" s="2" t="s">
        <v>488</v>
      </c>
      <c r="C47" s="14">
        <v>15300</v>
      </c>
      <c r="D47" s="14">
        <v>0</v>
      </c>
      <c r="E47" s="14">
        <v>0</v>
      </c>
      <c r="F47" s="14">
        <v>0</v>
      </c>
      <c r="G47" s="14">
        <v>0</v>
      </c>
      <c r="H47" s="18">
        <f t="shared" si="1"/>
        <v>15300</v>
      </c>
    </row>
    <row r="48" spans="1:12" s="7" customFormat="1" ht="15.75" x14ac:dyDescent="0.25">
      <c r="A48" s="12" t="s">
        <v>489</v>
      </c>
      <c r="B48" s="2" t="s">
        <v>490</v>
      </c>
      <c r="C48" s="14">
        <v>15000</v>
      </c>
      <c r="D48" s="14">
        <v>0</v>
      </c>
      <c r="E48" s="14">
        <v>0</v>
      </c>
      <c r="F48" s="14">
        <v>0</v>
      </c>
      <c r="G48" s="14">
        <v>0</v>
      </c>
      <c r="H48" s="18">
        <f t="shared" si="1"/>
        <v>15000</v>
      </c>
    </row>
    <row r="49" spans="1:8" s="7" customFormat="1" ht="15.75" x14ac:dyDescent="0.25">
      <c r="A49" s="12" t="s">
        <v>491</v>
      </c>
      <c r="B49" s="2" t="s">
        <v>492</v>
      </c>
      <c r="C49" s="14"/>
      <c r="D49" s="14">
        <v>0</v>
      </c>
      <c r="E49" s="14">
        <v>0</v>
      </c>
      <c r="F49" s="14">
        <v>0</v>
      </c>
      <c r="G49" s="14">
        <v>300000</v>
      </c>
      <c r="H49" s="18">
        <f t="shared" si="1"/>
        <v>300000</v>
      </c>
    </row>
    <row r="50" spans="1:8" s="7" customFormat="1" ht="15.75" x14ac:dyDescent="0.25">
      <c r="A50" s="12" t="s">
        <v>493</v>
      </c>
      <c r="B50" s="2" t="s">
        <v>494</v>
      </c>
      <c r="C50" s="14"/>
      <c r="D50" s="14">
        <v>0</v>
      </c>
      <c r="E50" s="14">
        <v>0</v>
      </c>
      <c r="F50" s="14">
        <v>0</v>
      </c>
      <c r="G50" s="14">
        <v>0</v>
      </c>
      <c r="H50" s="18">
        <f t="shared" si="1"/>
        <v>0</v>
      </c>
    </row>
    <row r="51" spans="1:8" s="7" customFormat="1" ht="15.75" x14ac:dyDescent="0.25">
      <c r="A51" s="12" t="s">
        <v>495</v>
      </c>
      <c r="B51" s="2" t="s">
        <v>496</v>
      </c>
      <c r="C51" s="14"/>
      <c r="D51" s="14">
        <v>0</v>
      </c>
      <c r="E51" s="14">
        <v>0</v>
      </c>
      <c r="F51" s="14">
        <v>0</v>
      </c>
      <c r="G51" s="14">
        <v>0</v>
      </c>
      <c r="H51" s="18">
        <f t="shared" si="1"/>
        <v>0</v>
      </c>
    </row>
    <row r="52" spans="1:8" s="7" customFormat="1" ht="15.75" x14ac:dyDescent="0.25">
      <c r="A52" s="12" t="s">
        <v>497</v>
      </c>
      <c r="B52" s="2" t="s">
        <v>685</v>
      </c>
      <c r="C52" s="14"/>
      <c r="D52" s="14">
        <v>0</v>
      </c>
      <c r="E52" s="14">
        <v>0</v>
      </c>
      <c r="F52" s="14">
        <v>0</v>
      </c>
      <c r="G52" s="14">
        <v>0</v>
      </c>
      <c r="H52" s="18">
        <f t="shared" si="1"/>
        <v>0</v>
      </c>
    </row>
    <row r="53" spans="1:8" s="7" customFormat="1" ht="15.75" x14ac:dyDescent="0.25">
      <c r="A53" s="12" t="s">
        <v>498</v>
      </c>
      <c r="B53" s="2" t="s">
        <v>499</v>
      </c>
      <c r="C53" s="14">
        <v>10000</v>
      </c>
      <c r="D53" s="14">
        <v>0</v>
      </c>
      <c r="E53" s="14">
        <v>0</v>
      </c>
      <c r="F53" s="14">
        <v>0</v>
      </c>
      <c r="G53" s="14">
        <v>0</v>
      </c>
      <c r="H53" s="18">
        <f t="shared" si="1"/>
        <v>10000</v>
      </c>
    </row>
    <row r="54" spans="1:8" s="7" customFormat="1" ht="15.75" x14ac:dyDescent="0.25">
      <c r="A54" s="12" t="s">
        <v>500</v>
      </c>
      <c r="B54" s="2" t="s">
        <v>501</v>
      </c>
      <c r="C54" s="14"/>
      <c r="D54" s="14">
        <v>0</v>
      </c>
      <c r="E54" s="14">
        <v>0</v>
      </c>
      <c r="F54" s="14">
        <v>0</v>
      </c>
      <c r="G54" s="14">
        <v>0</v>
      </c>
      <c r="H54" s="18">
        <f t="shared" si="1"/>
        <v>0</v>
      </c>
    </row>
    <row r="55" spans="1:8" s="7" customFormat="1" ht="15.75" x14ac:dyDescent="0.25">
      <c r="A55" s="12" t="s">
        <v>502</v>
      </c>
      <c r="B55" s="2" t="s">
        <v>503</v>
      </c>
      <c r="C55" s="14"/>
      <c r="D55" s="14">
        <v>0</v>
      </c>
      <c r="E55" s="14">
        <v>0</v>
      </c>
      <c r="F55" s="14">
        <v>0</v>
      </c>
      <c r="G55" s="14">
        <v>0</v>
      </c>
      <c r="H55" s="18">
        <f t="shared" si="1"/>
        <v>0</v>
      </c>
    </row>
    <row r="56" spans="1:8" s="7" customFormat="1" ht="15.75" x14ac:dyDescent="0.25">
      <c r="A56" s="12" t="s">
        <v>504</v>
      </c>
      <c r="B56" s="2" t="s">
        <v>686</v>
      </c>
      <c r="C56" s="14"/>
      <c r="D56" s="14">
        <v>0</v>
      </c>
      <c r="E56" s="14">
        <v>0</v>
      </c>
      <c r="F56" s="14">
        <v>0</v>
      </c>
      <c r="G56" s="14">
        <v>0</v>
      </c>
      <c r="H56" s="18">
        <f t="shared" si="1"/>
        <v>0</v>
      </c>
    </row>
    <row r="57" spans="1:8" s="7" customFormat="1" ht="15.75" x14ac:dyDescent="0.25">
      <c r="A57" s="12" t="s">
        <v>507</v>
      </c>
      <c r="B57" s="2" t="s">
        <v>508</v>
      </c>
      <c r="C57" s="14"/>
      <c r="D57" s="14">
        <v>0</v>
      </c>
      <c r="E57" s="14">
        <v>0</v>
      </c>
      <c r="F57" s="14">
        <v>0</v>
      </c>
      <c r="G57" s="14">
        <v>0</v>
      </c>
      <c r="H57" s="18">
        <f t="shared" si="1"/>
        <v>0</v>
      </c>
    </row>
    <row r="58" spans="1:8" s="7" customFormat="1" ht="15.75" x14ac:dyDescent="0.25">
      <c r="A58" s="12" t="s">
        <v>509</v>
      </c>
      <c r="B58" s="2" t="s">
        <v>510</v>
      </c>
      <c r="C58" s="14">
        <v>6750</v>
      </c>
      <c r="D58" s="14">
        <v>0</v>
      </c>
      <c r="E58" s="14">
        <v>0</v>
      </c>
      <c r="F58" s="14">
        <v>0</v>
      </c>
      <c r="G58" s="14">
        <v>0</v>
      </c>
      <c r="H58" s="18">
        <f t="shared" si="1"/>
        <v>6750</v>
      </c>
    </row>
    <row r="59" spans="1:8" s="7" customFormat="1" ht="15.75" x14ac:dyDescent="0.25">
      <c r="A59" s="12" t="s">
        <v>511</v>
      </c>
      <c r="B59" s="2" t="s">
        <v>512</v>
      </c>
      <c r="C59" s="14"/>
      <c r="D59" s="14">
        <v>0</v>
      </c>
      <c r="E59" s="14">
        <v>0</v>
      </c>
      <c r="F59" s="14">
        <v>0</v>
      </c>
      <c r="G59" s="14">
        <v>0</v>
      </c>
      <c r="H59" s="18">
        <f t="shared" si="1"/>
        <v>0</v>
      </c>
    </row>
    <row r="60" spans="1:8" s="7" customFormat="1" ht="15.75" x14ac:dyDescent="0.25">
      <c r="A60" s="12" t="s">
        <v>513</v>
      </c>
      <c r="B60" s="2" t="s">
        <v>514</v>
      </c>
      <c r="C60" s="14"/>
      <c r="D60" s="14">
        <v>0</v>
      </c>
      <c r="E60" s="14">
        <v>0</v>
      </c>
      <c r="F60" s="14">
        <v>0</v>
      </c>
      <c r="G60" s="14">
        <v>0</v>
      </c>
      <c r="H60" s="18">
        <f t="shared" si="1"/>
        <v>0</v>
      </c>
    </row>
    <row r="61" spans="1:8" s="7" customFormat="1" ht="15.75" x14ac:dyDescent="0.25">
      <c r="A61" s="12" t="s">
        <v>505</v>
      </c>
      <c r="B61" s="2" t="s">
        <v>506</v>
      </c>
      <c r="C61" s="14"/>
      <c r="D61" s="14">
        <v>0</v>
      </c>
      <c r="E61" s="14">
        <v>0</v>
      </c>
      <c r="F61" s="14">
        <v>0</v>
      </c>
      <c r="G61" s="14">
        <v>0</v>
      </c>
      <c r="H61" s="18">
        <f t="shared" si="1"/>
        <v>0</v>
      </c>
    </row>
    <row r="62" spans="1:8" s="7" customFormat="1" ht="15.75" x14ac:dyDescent="0.25">
      <c r="A62" s="12"/>
      <c r="B62" s="2" t="s">
        <v>467</v>
      </c>
      <c r="C62" s="14"/>
      <c r="D62" s="14">
        <v>0</v>
      </c>
      <c r="E62" s="14">
        <v>0</v>
      </c>
      <c r="F62" s="14">
        <v>0</v>
      </c>
      <c r="G62" s="14">
        <v>600000</v>
      </c>
      <c r="H62" s="18">
        <f t="shared" si="1"/>
        <v>600000</v>
      </c>
    </row>
    <row r="63" spans="1:8" s="7" customFormat="1" ht="15.75" x14ac:dyDescent="0.25">
      <c r="A63" s="12"/>
      <c r="B63" s="28" t="s">
        <v>808</v>
      </c>
      <c r="C63" s="45"/>
      <c r="D63" s="45">
        <v>0</v>
      </c>
      <c r="E63" s="45">
        <v>0</v>
      </c>
      <c r="F63" s="45">
        <v>0</v>
      </c>
      <c r="G63" s="45">
        <v>1500000</v>
      </c>
      <c r="H63" s="29">
        <f t="shared" si="1"/>
        <v>1500000</v>
      </c>
    </row>
    <row r="64" spans="1:8" s="7" customFormat="1" ht="15.75" x14ac:dyDescent="0.25">
      <c r="A64" s="12" t="s">
        <v>906</v>
      </c>
      <c r="B64" s="2" t="s">
        <v>10</v>
      </c>
      <c r="C64" s="14">
        <f>200000+50000</f>
        <v>250000</v>
      </c>
      <c r="D64" s="14">
        <v>0</v>
      </c>
      <c r="E64" s="14">
        <v>250000</v>
      </c>
      <c r="F64" s="14"/>
      <c r="G64" s="14">
        <v>275000</v>
      </c>
      <c r="H64" s="18">
        <f t="shared" si="1"/>
        <v>775000</v>
      </c>
    </row>
    <row r="65" spans="1:8" s="7" customFormat="1" ht="15.75" x14ac:dyDescent="0.25">
      <c r="A65" s="12"/>
      <c r="B65" s="2" t="s">
        <v>42</v>
      </c>
      <c r="C65" s="14"/>
      <c r="D65" s="14">
        <v>0</v>
      </c>
      <c r="E65" s="14">
        <v>0</v>
      </c>
      <c r="F65" s="14">
        <v>0</v>
      </c>
      <c r="G65" s="14">
        <v>300000</v>
      </c>
      <c r="H65" s="18">
        <f t="shared" si="1"/>
        <v>300000</v>
      </c>
    </row>
    <row r="66" spans="1:8" s="7" customFormat="1" ht="15.75" x14ac:dyDescent="0.25">
      <c r="A66" s="12"/>
      <c r="B66" s="2" t="s">
        <v>11</v>
      </c>
      <c r="C66" s="14"/>
      <c r="D66" s="14">
        <v>0</v>
      </c>
      <c r="E66" s="14">
        <v>0</v>
      </c>
      <c r="F66" s="14">
        <v>0</v>
      </c>
      <c r="G66" s="14">
        <v>5000000</v>
      </c>
      <c r="H66" s="18">
        <f t="shared" si="1"/>
        <v>5000000</v>
      </c>
    </row>
    <row r="67" spans="1:8" s="7" customFormat="1" ht="15.75" x14ac:dyDescent="0.25">
      <c r="A67" s="12"/>
      <c r="B67" s="2" t="s">
        <v>41</v>
      </c>
      <c r="C67" s="14"/>
      <c r="D67" s="14">
        <v>0</v>
      </c>
      <c r="E67" s="14">
        <v>0</v>
      </c>
      <c r="F67" s="14">
        <v>0</v>
      </c>
      <c r="G67" s="14">
        <v>2000000</v>
      </c>
      <c r="H67" s="18">
        <f t="shared" si="1"/>
        <v>2000000</v>
      </c>
    </row>
    <row r="68" spans="1:8" s="7" customFormat="1" ht="15.75" x14ac:dyDescent="0.25">
      <c r="A68" s="12"/>
      <c r="B68" s="2" t="s">
        <v>29</v>
      </c>
      <c r="C68" s="14"/>
      <c r="D68" s="14">
        <v>0</v>
      </c>
      <c r="E68" s="14">
        <v>0</v>
      </c>
      <c r="F68" s="14">
        <v>0</v>
      </c>
      <c r="G68" s="14">
        <v>2000000</v>
      </c>
      <c r="H68" s="18">
        <f t="shared" si="1"/>
        <v>2000000</v>
      </c>
    </row>
    <row r="69" spans="1:8" s="7" customFormat="1" ht="15.75" x14ac:dyDescent="0.25">
      <c r="A69" s="12"/>
      <c r="B69" s="2" t="s">
        <v>39</v>
      </c>
      <c r="C69" s="14"/>
      <c r="D69" s="14">
        <v>0</v>
      </c>
      <c r="E69" s="14">
        <v>0</v>
      </c>
      <c r="F69" s="14">
        <v>0</v>
      </c>
      <c r="G69" s="14">
        <v>500000</v>
      </c>
      <c r="H69" s="18">
        <f t="shared" si="1"/>
        <v>500000</v>
      </c>
    </row>
    <row r="70" spans="1:8" s="7" customFormat="1" ht="15.75" x14ac:dyDescent="0.25">
      <c r="A70" s="12"/>
      <c r="B70" s="2" t="s">
        <v>13</v>
      </c>
      <c r="C70" s="14"/>
      <c r="D70" s="14">
        <v>0</v>
      </c>
      <c r="E70" s="14">
        <v>0</v>
      </c>
      <c r="F70" s="14">
        <v>0</v>
      </c>
      <c r="G70" s="14">
        <v>3000000</v>
      </c>
      <c r="H70" s="18">
        <f t="shared" si="1"/>
        <v>3000000</v>
      </c>
    </row>
    <row r="71" spans="1:8" s="7" customFormat="1" ht="15.75" x14ac:dyDescent="0.25">
      <c r="A71" s="12"/>
      <c r="B71" s="2" t="s">
        <v>14</v>
      </c>
      <c r="C71" s="14"/>
      <c r="D71" s="14">
        <v>0</v>
      </c>
      <c r="E71" s="14">
        <v>0</v>
      </c>
      <c r="F71" s="14">
        <v>0</v>
      </c>
      <c r="G71" s="14">
        <v>1000000</v>
      </c>
      <c r="H71" s="18">
        <f t="shared" si="1"/>
        <v>1000000</v>
      </c>
    </row>
    <row r="72" spans="1:8" s="7" customFormat="1" ht="15.75" x14ac:dyDescent="0.25">
      <c r="A72" s="12"/>
      <c r="B72" s="2" t="s">
        <v>468</v>
      </c>
      <c r="C72" s="14"/>
      <c r="D72" s="14">
        <v>0</v>
      </c>
      <c r="E72" s="14">
        <v>0</v>
      </c>
      <c r="F72" s="14">
        <v>0</v>
      </c>
      <c r="G72" s="14">
        <v>4000000</v>
      </c>
      <c r="H72" s="18">
        <f t="shared" si="1"/>
        <v>4000000</v>
      </c>
    </row>
    <row r="73" spans="1:8" s="7" customFormat="1" ht="15.75" x14ac:dyDescent="0.25">
      <c r="A73" s="12"/>
      <c r="B73" s="2" t="s">
        <v>934</v>
      </c>
      <c r="C73" s="14"/>
      <c r="D73" s="14"/>
      <c r="E73" s="14"/>
      <c r="F73" s="14"/>
      <c r="G73" s="14">
        <v>5000000</v>
      </c>
      <c r="H73" s="18">
        <f t="shared" si="1"/>
        <v>5000000</v>
      </c>
    </row>
    <row r="74" spans="1:8" s="7" customFormat="1" ht="15.75" x14ac:dyDescent="0.25">
      <c r="A74" s="12"/>
      <c r="B74" s="2" t="s">
        <v>933</v>
      </c>
      <c r="C74" s="14"/>
      <c r="D74" s="14"/>
      <c r="E74" s="14"/>
      <c r="F74" s="14"/>
      <c r="G74" s="14">
        <v>1000000</v>
      </c>
      <c r="H74" s="18">
        <f t="shared" si="1"/>
        <v>1000000</v>
      </c>
    </row>
    <row r="75" spans="1:8" s="7" customFormat="1" ht="15.75" x14ac:dyDescent="0.25">
      <c r="A75" s="12"/>
      <c r="B75" s="2" t="s">
        <v>60</v>
      </c>
      <c r="C75" s="14"/>
      <c r="D75" s="14">
        <v>0</v>
      </c>
      <c r="E75" s="14">
        <v>0</v>
      </c>
      <c r="F75" s="14">
        <v>0</v>
      </c>
      <c r="G75" s="14">
        <v>2000000</v>
      </c>
      <c r="H75" s="18">
        <f t="shared" si="1"/>
        <v>2000000</v>
      </c>
    </row>
    <row r="76" spans="1:8" s="7" customFormat="1" ht="15.75" x14ac:dyDescent="0.25">
      <c r="A76" s="12"/>
      <c r="B76" s="2" t="s">
        <v>56</v>
      </c>
      <c r="C76" s="14"/>
      <c r="D76" s="14">
        <v>0</v>
      </c>
      <c r="E76" s="14">
        <v>0</v>
      </c>
      <c r="F76" s="14">
        <v>0</v>
      </c>
      <c r="G76" s="14">
        <v>4000000</v>
      </c>
      <c r="H76" s="18">
        <f t="shared" si="1"/>
        <v>4000000</v>
      </c>
    </row>
    <row r="77" spans="1:8" s="7" customFormat="1" ht="15.75" x14ac:dyDescent="0.25">
      <c r="A77" s="12"/>
      <c r="B77" s="2" t="s">
        <v>7</v>
      </c>
      <c r="C77" s="14"/>
      <c r="D77" s="14">
        <v>0</v>
      </c>
      <c r="E77" s="14">
        <v>0</v>
      </c>
      <c r="F77" s="14">
        <v>0</v>
      </c>
      <c r="G77" s="14">
        <v>500000</v>
      </c>
      <c r="H77" s="18">
        <f t="shared" si="1"/>
        <v>500000</v>
      </c>
    </row>
    <row r="78" spans="1:8" s="7" customFormat="1" ht="15.75" x14ac:dyDescent="0.25">
      <c r="A78" s="12"/>
      <c r="B78" s="2" t="s">
        <v>44</v>
      </c>
      <c r="C78" s="14"/>
      <c r="D78" s="14">
        <v>0</v>
      </c>
      <c r="E78" s="14">
        <v>0</v>
      </c>
      <c r="F78" s="14">
        <v>0</v>
      </c>
      <c r="G78" s="14">
        <v>1500000</v>
      </c>
      <c r="H78" s="18">
        <f t="shared" si="1"/>
        <v>1500000</v>
      </c>
    </row>
    <row r="79" spans="1:8" s="7" customFormat="1" ht="15.75" x14ac:dyDescent="0.25">
      <c r="A79" s="12"/>
      <c r="B79" s="2" t="s">
        <v>8</v>
      </c>
      <c r="C79" s="14"/>
      <c r="D79" s="14">
        <v>0</v>
      </c>
      <c r="E79" s="14">
        <v>0</v>
      </c>
      <c r="F79" s="14">
        <v>0</v>
      </c>
      <c r="G79" s="14">
        <v>2500000</v>
      </c>
      <c r="H79" s="18">
        <f t="shared" si="1"/>
        <v>2500000</v>
      </c>
    </row>
    <row r="80" spans="1:8" s="7" customFormat="1" ht="15.75" x14ac:dyDescent="0.25">
      <c r="A80" s="12" t="s">
        <v>196</v>
      </c>
      <c r="B80" s="2" t="s">
        <v>58</v>
      </c>
      <c r="C80" s="14">
        <f>450000+50000</f>
        <v>500000</v>
      </c>
      <c r="D80" s="14">
        <v>500000</v>
      </c>
      <c r="E80" s="14">
        <v>500000</v>
      </c>
      <c r="F80" s="14">
        <v>500000</v>
      </c>
      <c r="G80" s="14">
        <v>1750000</v>
      </c>
      <c r="H80" s="18">
        <f t="shared" si="1"/>
        <v>3750000</v>
      </c>
    </row>
    <row r="81" spans="1:12" s="7" customFormat="1" ht="15.75" x14ac:dyDescent="0.25">
      <c r="A81" s="12"/>
      <c r="B81" s="2" t="s">
        <v>515</v>
      </c>
      <c r="C81" s="14"/>
      <c r="D81" s="14">
        <v>0</v>
      </c>
      <c r="E81" s="14">
        <v>0</v>
      </c>
      <c r="F81" s="14">
        <v>8560000</v>
      </c>
      <c r="G81" s="14">
        <v>-8560000</v>
      </c>
      <c r="H81" s="18">
        <f t="shared" si="1"/>
        <v>0</v>
      </c>
    </row>
    <row r="82" spans="1:12" s="7" customFormat="1" ht="15.75" x14ac:dyDescent="0.25">
      <c r="A82" s="49"/>
      <c r="B82" s="49" t="s">
        <v>76</v>
      </c>
      <c r="C82" s="50">
        <f>SUM(C41:C81)</f>
        <v>855051</v>
      </c>
      <c r="D82" s="50">
        <f>SUM(D41:D81)</f>
        <v>500000</v>
      </c>
      <c r="E82" s="50">
        <f>SUM(E41:E81)</f>
        <v>750000</v>
      </c>
      <c r="F82" s="50">
        <f>SUM(F41:F81)</f>
        <v>9060000</v>
      </c>
      <c r="G82" s="50">
        <f>SUM(G41:G81)</f>
        <v>30665000</v>
      </c>
      <c r="H82" s="50">
        <f>SUM(C82:G82)</f>
        <v>41830051</v>
      </c>
      <c r="I82" s="17"/>
      <c r="J82" s="17"/>
      <c r="K82" s="17"/>
      <c r="L82" s="17"/>
    </row>
    <row r="83" spans="1:12" s="7" customFormat="1" ht="15.75" x14ac:dyDescent="0.25">
      <c r="A83" s="12"/>
      <c r="B83" s="5"/>
      <c r="C83" s="8"/>
      <c r="D83" s="8"/>
      <c r="E83" s="8"/>
      <c r="F83" s="8"/>
      <c r="G83" s="8"/>
      <c r="H83" s="4"/>
    </row>
    <row r="84" spans="1:12" s="7" customFormat="1" ht="15.75" x14ac:dyDescent="0.25">
      <c r="A84" s="12"/>
      <c r="B84" s="15" t="s">
        <v>2</v>
      </c>
      <c r="C84" s="9"/>
      <c r="D84" s="9"/>
      <c r="E84" s="9"/>
      <c r="F84" s="9"/>
      <c r="G84" s="9"/>
      <c r="H84" s="3"/>
    </row>
    <row r="85" spans="1:12" s="7" customFormat="1" ht="15.75" x14ac:dyDescent="0.25">
      <c r="A85" s="12" t="s">
        <v>516</v>
      </c>
      <c r="B85" s="2" t="s">
        <v>44</v>
      </c>
      <c r="C85" s="14">
        <v>13901</v>
      </c>
      <c r="D85" s="14">
        <f>1500000-C85</f>
        <v>1486099</v>
      </c>
      <c r="E85" s="14">
        <v>0</v>
      </c>
      <c r="F85" s="14">
        <v>0</v>
      </c>
      <c r="G85" s="14">
        <v>0</v>
      </c>
      <c r="H85" s="18">
        <f t="shared" ref="H85:H119" si="2">SUM(C85:G85)</f>
        <v>1500000</v>
      </c>
    </row>
    <row r="86" spans="1:12" s="7" customFormat="1" ht="15.75" x14ac:dyDescent="0.25">
      <c r="A86" s="12" t="s">
        <v>518</v>
      </c>
      <c r="B86" s="2" t="s">
        <v>519</v>
      </c>
      <c r="C86" s="14"/>
      <c r="D86" s="14">
        <v>0</v>
      </c>
      <c r="E86" s="14">
        <v>0</v>
      </c>
      <c r="F86" s="14">
        <v>0</v>
      </c>
      <c r="G86" s="14">
        <v>0</v>
      </c>
      <c r="H86" s="18">
        <f t="shared" si="2"/>
        <v>0</v>
      </c>
    </row>
    <row r="87" spans="1:12" s="7" customFormat="1" ht="15.75" x14ac:dyDescent="0.25">
      <c r="A87" s="12" t="s">
        <v>517</v>
      </c>
      <c r="B87" s="2" t="s">
        <v>9</v>
      </c>
      <c r="C87" s="14">
        <v>660100</v>
      </c>
      <c r="D87" s="14">
        <v>1739900</v>
      </c>
      <c r="E87" s="14">
        <v>0</v>
      </c>
      <c r="F87" s="14">
        <v>0</v>
      </c>
      <c r="G87" s="14">
        <v>0</v>
      </c>
      <c r="H87" s="18">
        <f t="shared" si="2"/>
        <v>2400000</v>
      </c>
    </row>
    <row r="88" spans="1:12" s="7" customFormat="1" ht="15.75" x14ac:dyDescent="0.25">
      <c r="A88" s="12" t="s">
        <v>635</v>
      </c>
      <c r="B88" s="2" t="s">
        <v>636</v>
      </c>
      <c r="C88" s="14"/>
      <c r="D88" s="14">
        <v>0</v>
      </c>
      <c r="E88" s="14">
        <v>0</v>
      </c>
      <c r="F88" s="14">
        <v>0</v>
      </c>
      <c r="G88" s="14">
        <v>0</v>
      </c>
      <c r="H88" s="18">
        <f t="shared" si="2"/>
        <v>0</v>
      </c>
    </row>
    <row r="89" spans="1:12" s="7" customFormat="1" ht="15.75" x14ac:dyDescent="0.25">
      <c r="A89" s="12" t="s">
        <v>637</v>
      </c>
      <c r="B89" s="2" t="s">
        <v>638</v>
      </c>
      <c r="C89" s="14"/>
      <c r="D89" s="14">
        <v>0</v>
      </c>
      <c r="E89" s="14">
        <v>0</v>
      </c>
      <c r="F89" s="14">
        <v>0</v>
      </c>
      <c r="G89" s="14">
        <v>0</v>
      </c>
      <c r="H89" s="18">
        <f t="shared" si="2"/>
        <v>0</v>
      </c>
    </row>
    <row r="90" spans="1:12" s="7" customFormat="1" ht="15.75" x14ac:dyDescent="0.25">
      <c r="A90" s="12" t="s">
        <v>520</v>
      </c>
      <c r="B90" s="2" t="s">
        <v>18</v>
      </c>
      <c r="C90" s="14">
        <v>380715</v>
      </c>
      <c r="D90" s="14">
        <v>619285</v>
      </c>
      <c r="E90" s="14">
        <v>0</v>
      </c>
      <c r="F90" s="14">
        <v>0</v>
      </c>
      <c r="G90" s="14">
        <v>0</v>
      </c>
      <c r="H90" s="18">
        <f t="shared" si="2"/>
        <v>1000000</v>
      </c>
    </row>
    <row r="91" spans="1:12" s="7" customFormat="1" ht="15.75" x14ac:dyDescent="0.25">
      <c r="A91" s="12" t="s">
        <v>521</v>
      </c>
      <c r="B91" s="2" t="s">
        <v>43</v>
      </c>
      <c r="C91" s="14">
        <v>68073</v>
      </c>
      <c r="D91" s="14">
        <v>181927</v>
      </c>
      <c r="E91" s="14">
        <v>0</v>
      </c>
      <c r="F91" s="14">
        <v>0</v>
      </c>
      <c r="G91" s="14">
        <v>0</v>
      </c>
      <c r="H91" s="18">
        <f t="shared" si="2"/>
        <v>250000</v>
      </c>
    </row>
    <row r="92" spans="1:12" s="7" customFormat="1" ht="15.75" x14ac:dyDescent="0.25">
      <c r="A92" s="12" t="s">
        <v>522</v>
      </c>
      <c r="B92" s="2" t="s">
        <v>19</v>
      </c>
      <c r="C92" s="14">
        <v>763809</v>
      </c>
      <c r="D92" s="14">
        <v>2236191</v>
      </c>
      <c r="E92" s="14">
        <v>0</v>
      </c>
      <c r="F92" s="14">
        <v>0</v>
      </c>
      <c r="G92" s="14">
        <v>0</v>
      </c>
      <c r="H92" s="18">
        <f t="shared" si="2"/>
        <v>3000000</v>
      </c>
    </row>
    <row r="93" spans="1:12" s="7" customFormat="1" ht="15.75" x14ac:dyDescent="0.25">
      <c r="A93" s="12" t="s">
        <v>523</v>
      </c>
      <c r="B93" s="2" t="s">
        <v>473</v>
      </c>
      <c r="C93" s="14">
        <v>223058</v>
      </c>
      <c r="D93" s="14">
        <v>876942</v>
      </c>
      <c r="E93" s="14">
        <v>0</v>
      </c>
      <c r="F93" s="14">
        <v>0</v>
      </c>
      <c r="G93" s="14">
        <v>0</v>
      </c>
      <c r="H93" s="18">
        <f t="shared" si="2"/>
        <v>1100000</v>
      </c>
    </row>
    <row r="94" spans="1:12" s="7" customFormat="1" ht="15.75" x14ac:dyDescent="0.25">
      <c r="A94" s="12" t="s">
        <v>524</v>
      </c>
      <c r="B94" s="2" t="s">
        <v>21</v>
      </c>
      <c r="C94" s="14">
        <v>387710</v>
      </c>
      <c r="D94" s="14">
        <v>2112290</v>
      </c>
      <c r="E94" s="14">
        <v>0</v>
      </c>
      <c r="F94" s="14">
        <v>0</v>
      </c>
      <c r="G94" s="14">
        <v>0</v>
      </c>
      <c r="H94" s="18">
        <f t="shared" si="2"/>
        <v>2500000</v>
      </c>
    </row>
    <row r="95" spans="1:12" s="7" customFormat="1" ht="15.75" x14ac:dyDescent="0.25">
      <c r="A95" s="12" t="s">
        <v>525</v>
      </c>
      <c r="B95" s="2" t="s">
        <v>22</v>
      </c>
      <c r="C95" s="14">
        <v>1080760</v>
      </c>
      <c r="D95" s="14">
        <v>3919240</v>
      </c>
      <c r="E95" s="14">
        <v>0</v>
      </c>
      <c r="F95" s="14">
        <v>0</v>
      </c>
      <c r="G95" s="14">
        <v>0</v>
      </c>
      <c r="H95" s="18">
        <f t="shared" si="2"/>
        <v>5000000</v>
      </c>
    </row>
    <row r="96" spans="1:12" s="7" customFormat="1" ht="15.75" x14ac:dyDescent="0.25">
      <c r="A96" s="12" t="s">
        <v>530</v>
      </c>
      <c r="B96" s="2" t="s">
        <v>61</v>
      </c>
      <c r="C96" s="14">
        <v>1082391</v>
      </c>
      <c r="D96" s="14">
        <v>3917609</v>
      </c>
      <c r="E96" s="14">
        <v>0</v>
      </c>
      <c r="F96" s="14">
        <v>0</v>
      </c>
      <c r="G96" s="14">
        <v>0</v>
      </c>
      <c r="H96" s="18">
        <f t="shared" si="2"/>
        <v>5000000</v>
      </c>
    </row>
    <row r="97" spans="1:8" s="7" customFormat="1" ht="15.75" x14ac:dyDescent="0.25">
      <c r="A97" s="12" t="s">
        <v>531</v>
      </c>
      <c r="B97" s="2" t="s">
        <v>27</v>
      </c>
      <c r="C97" s="14">
        <v>1311712</v>
      </c>
      <c r="D97" s="14">
        <v>3688288</v>
      </c>
      <c r="E97" s="14">
        <v>0</v>
      </c>
      <c r="F97" s="14">
        <v>0</v>
      </c>
      <c r="G97" s="14">
        <v>0</v>
      </c>
      <c r="H97" s="18">
        <f t="shared" si="2"/>
        <v>5000000</v>
      </c>
    </row>
    <row r="98" spans="1:8" s="7" customFormat="1" ht="15.75" x14ac:dyDescent="0.25">
      <c r="A98" s="12" t="s">
        <v>532</v>
      </c>
      <c r="B98" s="2" t="s">
        <v>4</v>
      </c>
      <c r="C98" s="14">
        <v>400116</v>
      </c>
      <c r="D98" s="14">
        <v>1099884</v>
      </c>
      <c r="E98" s="14">
        <v>0</v>
      </c>
      <c r="F98" s="14">
        <v>0</v>
      </c>
      <c r="G98" s="14">
        <v>0</v>
      </c>
      <c r="H98" s="18">
        <f t="shared" si="2"/>
        <v>1500000</v>
      </c>
    </row>
    <row r="99" spans="1:8" s="7" customFormat="1" ht="15.75" x14ac:dyDescent="0.25">
      <c r="A99" s="12" t="s">
        <v>533</v>
      </c>
      <c r="B99" s="2" t="s">
        <v>16</v>
      </c>
      <c r="C99" s="14">
        <v>540043</v>
      </c>
      <c r="D99" s="14">
        <v>1709957</v>
      </c>
      <c r="E99" s="14">
        <v>0</v>
      </c>
      <c r="F99" s="14">
        <v>0</v>
      </c>
      <c r="G99" s="14">
        <v>0</v>
      </c>
      <c r="H99" s="18">
        <f t="shared" si="2"/>
        <v>2250000</v>
      </c>
    </row>
    <row r="100" spans="1:8" s="7" customFormat="1" ht="15.75" x14ac:dyDescent="0.25">
      <c r="A100" s="12" t="s">
        <v>534</v>
      </c>
      <c r="B100" s="2" t="s">
        <v>53</v>
      </c>
      <c r="C100" s="14">
        <v>20424</v>
      </c>
      <c r="D100" s="14">
        <v>4429576</v>
      </c>
      <c r="E100" s="14">
        <v>0</v>
      </c>
      <c r="F100" s="14">
        <v>0</v>
      </c>
      <c r="G100" s="14">
        <v>0</v>
      </c>
      <c r="H100" s="18">
        <f t="shared" si="2"/>
        <v>4450000</v>
      </c>
    </row>
    <row r="101" spans="1:8" s="7" customFormat="1" ht="15.75" x14ac:dyDescent="0.25">
      <c r="A101" s="12" t="s">
        <v>528</v>
      </c>
      <c r="B101" s="2" t="s">
        <v>26</v>
      </c>
      <c r="C101" s="14">
        <v>4240457</v>
      </c>
      <c r="D101" s="14">
        <v>6759543</v>
      </c>
      <c r="E101" s="14">
        <v>0</v>
      </c>
      <c r="F101" s="14">
        <v>0</v>
      </c>
      <c r="G101" s="14">
        <v>0</v>
      </c>
      <c r="H101" s="18">
        <f t="shared" si="2"/>
        <v>11000000</v>
      </c>
    </row>
    <row r="102" spans="1:8" s="7" customFormat="1" ht="15.75" x14ac:dyDescent="0.25">
      <c r="A102" s="12" t="s">
        <v>526</v>
      </c>
      <c r="B102" s="2" t="s">
        <v>23</v>
      </c>
      <c r="C102" s="14">
        <v>786469</v>
      </c>
      <c r="D102" s="14">
        <v>1383531</v>
      </c>
      <c r="E102" s="14">
        <v>0</v>
      </c>
      <c r="F102" s="14">
        <v>0</v>
      </c>
      <c r="G102" s="14">
        <v>0</v>
      </c>
      <c r="H102" s="18">
        <f t="shared" si="2"/>
        <v>2170000</v>
      </c>
    </row>
    <row r="103" spans="1:8" s="7" customFormat="1" ht="15.75" x14ac:dyDescent="0.25">
      <c r="A103" s="12" t="s">
        <v>527</v>
      </c>
      <c r="B103" s="2" t="s">
        <v>12</v>
      </c>
      <c r="C103" s="14">
        <v>559838</v>
      </c>
      <c r="D103" s="14">
        <v>1440162</v>
      </c>
      <c r="E103" s="14">
        <v>0</v>
      </c>
      <c r="F103" s="14">
        <v>0</v>
      </c>
      <c r="G103" s="14">
        <v>0</v>
      </c>
      <c r="H103" s="18">
        <f t="shared" si="2"/>
        <v>2000000</v>
      </c>
    </row>
    <row r="104" spans="1:8" s="7" customFormat="1" ht="15.75" x14ac:dyDescent="0.25">
      <c r="A104" s="12" t="s">
        <v>529</v>
      </c>
      <c r="B104" s="2" t="s">
        <v>468</v>
      </c>
      <c r="C104" s="14"/>
      <c r="D104" s="14">
        <v>4000000</v>
      </c>
      <c r="E104" s="14">
        <v>0</v>
      </c>
      <c r="F104" s="14">
        <v>0</v>
      </c>
      <c r="G104" s="14">
        <v>0</v>
      </c>
      <c r="H104" s="18">
        <f t="shared" si="2"/>
        <v>4000000</v>
      </c>
    </row>
    <row r="105" spans="1:8" s="7" customFormat="1" ht="15.75" x14ac:dyDescent="0.25">
      <c r="A105" s="12"/>
      <c r="B105" s="2" t="s">
        <v>20</v>
      </c>
      <c r="C105" s="14"/>
      <c r="D105" s="14">
        <v>0</v>
      </c>
      <c r="E105" s="14">
        <v>0</v>
      </c>
      <c r="F105" s="14">
        <v>0</v>
      </c>
      <c r="G105" s="14">
        <v>0</v>
      </c>
      <c r="H105" s="18">
        <f t="shared" si="2"/>
        <v>0</v>
      </c>
    </row>
    <row r="106" spans="1:8" s="7" customFormat="1" ht="15.75" x14ac:dyDescent="0.25">
      <c r="A106" s="12" t="s">
        <v>907</v>
      </c>
      <c r="B106" s="2" t="s">
        <v>40</v>
      </c>
      <c r="C106" s="14">
        <v>400000</v>
      </c>
      <c r="D106" s="14">
        <f>1100000</f>
        <v>1100000</v>
      </c>
      <c r="E106" s="14">
        <v>0</v>
      </c>
      <c r="F106" s="14">
        <v>0</v>
      </c>
      <c r="G106" s="14">
        <v>0</v>
      </c>
      <c r="H106" s="18">
        <f t="shared" si="2"/>
        <v>1500000</v>
      </c>
    </row>
    <row r="107" spans="1:8" s="7" customFormat="1" ht="15.75" x14ac:dyDescent="0.25">
      <c r="A107" s="12"/>
      <c r="B107" s="2" t="s">
        <v>17</v>
      </c>
      <c r="C107" s="14"/>
      <c r="D107" s="14">
        <v>500000</v>
      </c>
      <c r="E107" s="14">
        <v>0</v>
      </c>
      <c r="F107" s="14">
        <v>0</v>
      </c>
      <c r="G107" s="14">
        <v>0</v>
      </c>
      <c r="H107" s="18">
        <f t="shared" si="2"/>
        <v>500000</v>
      </c>
    </row>
    <row r="108" spans="1:8" s="7" customFormat="1" ht="15.75" x14ac:dyDescent="0.25">
      <c r="A108" s="12"/>
      <c r="B108" s="2" t="s">
        <v>10</v>
      </c>
      <c r="C108" s="14"/>
      <c r="D108" s="14">
        <v>250000</v>
      </c>
      <c r="E108" s="14">
        <v>0</v>
      </c>
      <c r="F108" s="14">
        <v>275000</v>
      </c>
      <c r="G108" s="14">
        <v>0</v>
      </c>
      <c r="H108" s="18">
        <f t="shared" si="2"/>
        <v>525000</v>
      </c>
    </row>
    <row r="109" spans="1:8" s="7" customFormat="1" ht="15.75" x14ac:dyDescent="0.25">
      <c r="A109" s="12"/>
      <c r="B109" s="2" t="s">
        <v>59</v>
      </c>
      <c r="C109" s="14"/>
      <c r="D109" s="14">
        <v>200000</v>
      </c>
      <c r="E109" s="14">
        <v>0</v>
      </c>
      <c r="F109" s="14">
        <v>0</v>
      </c>
      <c r="G109" s="14">
        <v>0</v>
      </c>
      <c r="H109" s="18">
        <f t="shared" si="2"/>
        <v>200000</v>
      </c>
    </row>
    <row r="110" spans="1:8" s="7" customFormat="1" ht="15.75" x14ac:dyDescent="0.25">
      <c r="A110" s="12"/>
      <c r="B110" s="2" t="s">
        <v>620</v>
      </c>
      <c r="C110" s="14"/>
      <c r="D110" s="14">
        <v>1000000</v>
      </c>
      <c r="E110" s="14"/>
      <c r="F110" s="14"/>
      <c r="G110" s="14"/>
      <c r="H110" s="18">
        <f t="shared" si="2"/>
        <v>1000000</v>
      </c>
    </row>
    <row r="111" spans="1:8" s="7" customFormat="1" ht="15.75" x14ac:dyDescent="0.25">
      <c r="A111" s="12"/>
      <c r="B111" s="2" t="s">
        <v>24</v>
      </c>
      <c r="C111" s="14"/>
      <c r="D111" s="14">
        <v>0</v>
      </c>
      <c r="E111" s="14">
        <v>0</v>
      </c>
      <c r="F111" s="14">
        <v>0</v>
      </c>
      <c r="G111" s="14">
        <v>0</v>
      </c>
      <c r="H111" s="18">
        <f t="shared" si="2"/>
        <v>0</v>
      </c>
    </row>
    <row r="112" spans="1:8" s="7" customFormat="1" ht="15.75" x14ac:dyDescent="0.25">
      <c r="A112" s="12"/>
      <c r="B112" s="2" t="s">
        <v>25</v>
      </c>
      <c r="C112" s="14"/>
      <c r="D112" s="14">
        <v>0</v>
      </c>
      <c r="E112" s="14">
        <v>0</v>
      </c>
      <c r="F112" s="14">
        <v>0</v>
      </c>
      <c r="G112" s="14">
        <v>0</v>
      </c>
      <c r="H112" s="18">
        <f t="shared" si="2"/>
        <v>0</v>
      </c>
    </row>
    <row r="113" spans="1:12" s="7" customFormat="1" ht="15.75" x14ac:dyDescent="0.25">
      <c r="A113" s="12" t="s">
        <v>874</v>
      </c>
      <c r="B113" s="2" t="s">
        <v>348</v>
      </c>
      <c r="C113" s="14">
        <v>150000</v>
      </c>
      <c r="D113" s="14">
        <f>600000</f>
        <v>600000</v>
      </c>
      <c r="E113" s="14">
        <v>0</v>
      </c>
      <c r="F113" s="14">
        <v>0</v>
      </c>
      <c r="G113" s="14">
        <v>0</v>
      </c>
      <c r="H113" s="18">
        <f t="shared" si="2"/>
        <v>750000</v>
      </c>
    </row>
    <row r="114" spans="1:12" s="7" customFormat="1" ht="15.75" x14ac:dyDescent="0.25">
      <c r="A114" s="12"/>
      <c r="B114" s="2" t="s">
        <v>39</v>
      </c>
      <c r="C114" s="14"/>
      <c r="D114" s="14">
        <v>500000</v>
      </c>
      <c r="E114" s="14">
        <v>0</v>
      </c>
      <c r="F114" s="14">
        <v>0</v>
      </c>
      <c r="G114" s="14">
        <v>0</v>
      </c>
      <c r="H114" s="18">
        <f t="shared" si="2"/>
        <v>500000</v>
      </c>
    </row>
    <row r="115" spans="1:12" s="7" customFormat="1" ht="15.75" x14ac:dyDescent="0.25">
      <c r="A115" s="12"/>
      <c r="B115" s="2" t="s">
        <v>14</v>
      </c>
      <c r="C115" s="14"/>
      <c r="D115" s="14">
        <v>0</v>
      </c>
      <c r="E115" s="14">
        <v>0</v>
      </c>
      <c r="F115" s="14">
        <v>0</v>
      </c>
      <c r="G115" s="14">
        <v>0</v>
      </c>
      <c r="H115" s="18">
        <f t="shared" si="2"/>
        <v>0</v>
      </c>
    </row>
    <row r="116" spans="1:12" s="7" customFormat="1" ht="15.75" x14ac:dyDescent="0.25">
      <c r="A116" s="12"/>
      <c r="B116" s="2" t="s">
        <v>15</v>
      </c>
      <c r="C116" s="14"/>
      <c r="D116" s="14">
        <v>0</v>
      </c>
      <c r="E116" s="14">
        <v>0</v>
      </c>
      <c r="F116" s="14">
        <v>0</v>
      </c>
      <c r="G116" s="14">
        <v>0</v>
      </c>
      <c r="H116" s="18">
        <f t="shared" si="2"/>
        <v>0</v>
      </c>
    </row>
    <row r="117" spans="1:12" s="7" customFormat="1" ht="15.75" x14ac:dyDescent="0.25">
      <c r="A117" s="12"/>
      <c r="B117" s="2" t="s">
        <v>933</v>
      </c>
      <c r="C117" s="14"/>
      <c r="D117" s="14">
        <v>1000000</v>
      </c>
      <c r="E117" s="14"/>
      <c r="F117" s="14"/>
      <c r="G117" s="14"/>
      <c r="H117" s="18">
        <f t="shared" si="2"/>
        <v>1000000</v>
      </c>
    </row>
    <row r="118" spans="1:12" s="7" customFormat="1" ht="15.75" x14ac:dyDescent="0.25">
      <c r="A118" s="12"/>
      <c r="B118" s="2" t="s">
        <v>535</v>
      </c>
      <c r="C118" s="14"/>
      <c r="D118" s="14">
        <v>0</v>
      </c>
      <c r="E118" s="14">
        <v>0</v>
      </c>
      <c r="F118" s="14">
        <v>0</v>
      </c>
      <c r="G118" s="14">
        <v>10000000</v>
      </c>
      <c r="H118" s="18">
        <f t="shared" si="2"/>
        <v>10000000</v>
      </c>
    </row>
    <row r="119" spans="1:12" s="17" customFormat="1" ht="15.75" x14ac:dyDescent="0.25">
      <c r="A119" s="12" t="s">
        <v>197</v>
      </c>
      <c r="B119" s="2" t="s">
        <v>58</v>
      </c>
      <c r="C119" s="14">
        <f>449644+50000</f>
        <v>499644</v>
      </c>
      <c r="D119" s="14">
        <v>1500000</v>
      </c>
      <c r="E119" s="14">
        <v>500000</v>
      </c>
      <c r="F119" s="14">
        <v>500000</v>
      </c>
      <c r="G119" s="14">
        <v>500000</v>
      </c>
      <c r="H119" s="59">
        <f t="shared" si="2"/>
        <v>3499644</v>
      </c>
    </row>
    <row r="120" spans="1:12" s="7" customFormat="1" ht="15.75" x14ac:dyDescent="0.25">
      <c r="A120" s="49"/>
      <c r="B120" s="49" t="s">
        <v>77</v>
      </c>
      <c r="C120" s="50">
        <f>SUM(C85:C119)</f>
        <v>13569220</v>
      </c>
      <c r="D120" s="50">
        <f>SUM(D85:D119)</f>
        <v>48250424</v>
      </c>
      <c r="E120" s="50">
        <f>SUM(E85:E119)</f>
        <v>500000</v>
      </c>
      <c r="F120" s="50">
        <f>SUM(F85:F119)</f>
        <v>775000</v>
      </c>
      <c r="G120" s="50">
        <f>SUM(G85:G119)</f>
        <v>10500000</v>
      </c>
      <c r="H120" s="50">
        <f>SUM(C120:G120)</f>
        <v>73594644</v>
      </c>
      <c r="I120" s="17"/>
      <c r="J120" s="17"/>
      <c r="K120" s="17"/>
      <c r="L120" s="17"/>
    </row>
    <row r="121" spans="1:12" s="7" customFormat="1" ht="15.75" x14ac:dyDescent="0.25">
      <c r="A121" s="12"/>
      <c r="B121" s="5"/>
      <c r="C121" s="8"/>
      <c r="D121" s="8"/>
      <c r="E121" s="8"/>
      <c r="F121" s="8"/>
      <c r="G121" s="8"/>
      <c r="H121" s="4"/>
    </row>
    <row r="122" spans="1:12" s="7" customFormat="1" ht="15.75" x14ac:dyDescent="0.25">
      <c r="A122" s="12"/>
      <c r="B122" s="10" t="s">
        <v>3</v>
      </c>
      <c r="C122" s="8"/>
      <c r="D122" s="8"/>
      <c r="E122" s="8"/>
      <c r="F122" s="8"/>
      <c r="G122" s="8"/>
      <c r="H122" s="4"/>
    </row>
    <row r="123" spans="1:12" s="7" customFormat="1" ht="15.75" x14ac:dyDescent="0.25">
      <c r="A123" s="12" t="s">
        <v>542</v>
      </c>
      <c r="B123" s="2" t="s">
        <v>52</v>
      </c>
      <c r="C123" s="14">
        <f>450000+50000</f>
        <v>500000</v>
      </c>
      <c r="D123" s="14">
        <v>750000</v>
      </c>
      <c r="E123" s="14">
        <v>500000</v>
      </c>
      <c r="F123" s="14">
        <v>750000</v>
      </c>
      <c r="G123" s="14">
        <v>500000</v>
      </c>
      <c r="H123" s="18">
        <f t="shared" ref="H123:H163" si="3">SUM(C123:G123)</f>
        <v>3000000</v>
      </c>
    </row>
    <row r="124" spans="1:12" s="7" customFormat="1" ht="15.75" x14ac:dyDescent="0.25">
      <c r="A124" s="12" t="s">
        <v>536</v>
      </c>
      <c r="B124" s="2" t="s">
        <v>629</v>
      </c>
      <c r="C124" s="14"/>
      <c r="D124" s="14">
        <v>0</v>
      </c>
      <c r="E124" s="14">
        <v>0</v>
      </c>
      <c r="F124" s="14">
        <v>0</v>
      </c>
      <c r="G124" s="14">
        <v>0</v>
      </c>
      <c r="H124" s="18">
        <f t="shared" si="3"/>
        <v>0</v>
      </c>
    </row>
    <row r="125" spans="1:12" s="7" customFormat="1" ht="15.75" x14ac:dyDescent="0.25">
      <c r="A125" s="12" t="s">
        <v>548</v>
      </c>
      <c r="B125" s="2" t="s">
        <v>631</v>
      </c>
      <c r="C125" s="14"/>
      <c r="D125" s="14">
        <v>0</v>
      </c>
      <c r="E125" s="14">
        <v>0</v>
      </c>
      <c r="F125" s="14">
        <v>0</v>
      </c>
      <c r="G125" s="14">
        <v>0</v>
      </c>
      <c r="H125" s="18">
        <f t="shared" si="3"/>
        <v>0</v>
      </c>
    </row>
    <row r="126" spans="1:12" s="7" customFormat="1" ht="15.75" x14ac:dyDescent="0.25">
      <c r="A126" s="12" t="s">
        <v>630</v>
      </c>
      <c r="B126" s="2" t="s">
        <v>632</v>
      </c>
      <c r="C126" s="14"/>
      <c r="D126" s="14">
        <v>0</v>
      </c>
      <c r="E126" s="14">
        <v>0</v>
      </c>
      <c r="F126" s="14">
        <v>0</v>
      </c>
      <c r="G126" s="14">
        <v>0</v>
      </c>
      <c r="H126" s="18">
        <f t="shared" si="3"/>
        <v>0</v>
      </c>
    </row>
    <row r="127" spans="1:12" s="7" customFormat="1" ht="15.75" x14ac:dyDescent="0.25">
      <c r="A127" s="12" t="s">
        <v>633</v>
      </c>
      <c r="B127" s="2" t="s">
        <v>634</v>
      </c>
      <c r="C127" s="14"/>
      <c r="D127" s="14">
        <v>0</v>
      </c>
      <c r="E127" s="14">
        <v>0</v>
      </c>
      <c r="F127" s="14">
        <v>0</v>
      </c>
      <c r="G127" s="14">
        <v>0</v>
      </c>
      <c r="H127" s="18">
        <f t="shared" si="3"/>
        <v>0</v>
      </c>
    </row>
    <row r="128" spans="1:12" s="7" customFormat="1" ht="15.75" x14ac:dyDescent="0.25">
      <c r="A128" s="12" t="s">
        <v>254</v>
      </c>
      <c r="B128" s="2" t="s">
        <v>468</v>
      </c>
      <c r="C128" s="14"/>
      <c r="D128" s="14">
        <v>0</v>
      </c>
      <c r="E128" s="14">
        <v>5000000</v>
      </c>
      <c r="F128" s="14">
        <v>0</v>
      </c>
      <c r="G128" s="14">
        <v>0</v>
      </c>
      <c r="H128" s="18">
        <f t="shared" si="3"/>
        <v>5000000</v>
      </c>
    </row>
    <row r="129" spans="1:8" s="7" customFormat="1" ht="15.75" x14ac:dyDescent="0.25">
      <c r="A129" s="12" t="s">
        <v>255</v>
      </c>
      <c r="B129" s="2" t="s">
        <v>814</v>
      </c>
      <c r="C129" s="14"/>
      <c r="D129" s="14">
        <v>0</v>
      </c>
      <c r="E129" s="14">
        <v>0</v>
      </c>
      <c r="F129" s="14">
        <v>0</v>
      </c>
      <c r="G129" s="14">
        <v>0</v>
      </c>
      <c r="H129" s="18">
        <f t="shared" si="3"/>
        <v>0</v>
      </c>
    </row>
    <row r="130" spans="1:8" s="7" customFormat="1" ht="15.75" x14ac:dyDescent="0.25">
      <c r="A130" s="12" t="s">
        <v>537</v>
      </c>
      <c r="B130" s="2" t="s">
        <v>538</v>
      </c>
      <c r="C130" s="14"/>
      <c r="D130" s="14">
        <v>0</v>
      </c>
      <c r="E130" s="14">
        <v>0</v>
      </c>
      <c r="F130" s="14">
        <v>0</v>
      </c>
      <c r="G130" s="14">
        <v>0</v>
      </c>
      <c r="H130" s="18">
        <f t="shared" si="3"/>
        <v>0</v>
      </c>
    </row>
    <row r="131" spans="1:8" s="7" customFormat="1" ht="15.75" x14ac:dyDescent="0.25">
      <c r="A131" s="12" t="s">
        <v>539</v>
      </c>
      <c r="B131" s="2" t="s">
        <v>815</v>
      </c>
      <c r="C131" s="14"/>
      <c r="D131" s="14">
        <v>0</v>
      </c>
      <c r="E131" s="14">
        <v>0</v>
      </c>
      <c r="F131" s="14">
        <v>0</v>
      </c>
      <c r="G131" s="14">
        <v>0</v>
      </c>
      <c r="H131" s="18">
        <f t="shared" si="3"/>
        <v>0</v>
      </c>
    </row>
    <row r="132" spans="1:8" s="7" customFormat="1" ht="15.75" x14ac:dyDescent="0.25">
      <c r="A132" s="12" t="s">
        <v>257</v>
      </c>
      <c r="B132" s="2" t="s">
        <v>684</v>
      </c>
      <c r="C132" s="14"/>
      <c r="D132" s="14">
        <v>0</v>
      </c>
      <c r="E132" s="14">
        <v>0</v>
      </c>
      <c r="F132" s="14">
        <v>0</v>
      </c>
      <c r="G132" s="14">
        <v>0</v>
      </c>
      <c r="H132" s="18">
        <f t="shared" si="3"/>
        <v>0</v>
      </c>
    </row>
    <row r="133" spans="1:8" s="7" customFormat="1" ht="15.75" x14ac:dyDescent="0.25">
      <c r="A133" s="12" t="s">
        <v>540</v>
      </c>
      <c r="B133" s="2" t="s">
        <v>55</v>
      </c>
      <c r="C133" s="14"/>
      <c r="D133" s="14">
        <v>0</v>
      </c>
      <c r="E133" s="14">
        <v>750000</v>
      </c>
      <c r="F133" s="14">
        <v>0</v>
      </c>
      <c r="G133" s="14">
        <v>0</v>
      </c>
      <c r="H133" s="18">
        <f t="shared" si="3"/>
        <v>750000</v>
      </c>
    </row>
    <row r="134" spans="1:8" s="7" customFormat="1" ht="15.75" x14ac:dyDescent="0.25">
      <c r="A134" s="12"/>
      <c r="B134" s="2" t="s">
        <v>38</v>
      </c>
      <c r="C134" s="14"/>
      <c r="D134" s="14">
        <v>0</v>
      </c>
      <c r="E134" s="14">
        <v>2500000</v>
      </c>
      <c r="F134" s="14">
        <v>0</v>
      </c>
      <c r="G134" s="14">
        <v>0</v>
      </c>
      <c r="H134" s="18">
        <f t="shared" si="3"/>
        <v>2500000</v>
      </c>
    </row>
    <row r="135" spans="1:8" s="7" customFormat="1" ht="15.75" x14ac:dyDescent="0.25">
      <c r="A135" s="12"/>
      <c r="B135" s="2" t="s">
        <v>28</v>
      </c>
      <c r="C135" s="14"/>
      <c r="D135" s="14">
        <v>0</v>
      </c>
      <c r="E135" s="14">
        <v>250000</v>
      </c>
      <c r="F135" s="14">
        <v>0</v>
      </c>
      <c r="G135" s="14">
        <v>0</v>
      </c>
      <c r="H135" s="18">
        <f t="shared" si="3"/>
        <v>250000</v>
      </c>
    </row>
    <row r="136" spans="1:8" s="7" customFormat="1" ht="15.75" x14ac:dyDescent="0.25">
      <c r="A136" s="12"/>
      <c r="B136" s="2" t="s">
        <v>62</v>
      </c>
      <c r="C136" s="14"/>
      <c r="D136" s="14">
        <v>0</v>
      </c>
      <c r="E136" s="14">
        <v>1000000</v>
      </c>
      <c r="F136" s="14">
        <v>0</v>
      </c>
      <c r="G136" s="14">
        <v>0</v>
      </c>
      <c r="H136" s="18">
        <f t="shared" si="3"/>
        <v>1000000</v>
      </c>
    </row>
    <row r="137" spans="1:8" s="7" customFormat="1" ht="15.75" x14ac:dyDescent="0.25">
      <c r="A137" s="12"/>
      <c r="B137" s="2" t="s">
        <v>45</v>
      </c>
      <c r="C137" s="14"/>
      <c r="D137" s="14">
        <v>0</v>
      </c>
      <c r="E137" s="14">
        <v>1200000</v>
      </c>
      <c r="F137" s="14">
        <v>0</v>
      </c>
      <c r="G137" s="14">
        <v>0</v>
      </c>
      <c r="H137" s="18">
        <f t="shared" si="3"/>
        <v>1200000</v>
      </c>
    </row>
    <row r="138" spans="1:8" s="7" customFormat="1" ht="15.75" x14ac:dyDescent="0.25">
      <c r="A138" s="12" t="s">
        <v>908</v>
      </c>
      <c r="B138" s="2" t="s">
        <v>10</v>
      </c>
      <c r="C138" s="14">
        <f>225000+25000</f>
        <v>250000</v>
      </c>
      <c r="D138" s="14">
        <v>0</v>
      </c>
      <c r="E138" s="14">
        <v>275000</v>
      </c>
      <c r="F138" s="14">
        <v>0</v>
      </c>
      <c r="G138" s="14">
        <v>275000</v>
      </c>
      <c r="H138" s="18">
        <f t="shared" si="3"/>
        <v>800000</v>
      </c>
    </row>
    <row r="139" spans="1:8" s="7" customFormat="1" ht="15.75" x14ac:dyDescent="0.25">
      <c r="A139" s="12"/>
      <c r="B139" s="2" t="s">
        <v>541</v>
      </c>
      <c r="C139" s="14"/>
      <c r="D139" s="14">
        <v>0</v>
      </c>
      <c r="E139" s="14">
        <v>500000</v>
      </c>
      <c r="F139" s="14">
        <v>0</v>
      </c>
      <c r="G139" s="14">
        <v>0</v>
      </c>
      <c r="H139" s="18">
        <f t="shared" si="3"/>
        <v>500000</v>
      </c>
    </row>
    <row r="140" spans="1:8" s="7" customFormat="1" ht="15.75" x14ac:dyDescent="0.25">
      <c r="A140" s="12"/>
      <c r="B140" s="2" t="s">
        <v>19</v>
      </c>
      <c r="C140" s="14"/>
      <c r="D140" s="14">
        <v>0</v>
      </c>
      <c r="E140" s="14">
        <v>4000000</v>
      </c>
      <c r="F140" s="14">
        <v>0</v>
      </c>
      <c r="G140" s="14">
        <v>0</v>
      </c>
      <c r="H140" s="18">
        <f t="shared" si="3"/>
        <v>4000000</v>
      </c>
    </row>
    <row r="141" spans="1:8" s="7" customFormat="1" ht="15.75" x14ac:dyDescent="0.25">
      <c r="A141" s="12"/>
      <c r="B141" s="2" t="s">
        <v>473</v>
      </c>
      <c r="C141" s="14"/>
      <c r="D141" s="14">
        <v>0</v>
      </c>
      <c r="E141" s="14">
        <v>1000000</v>
      </c>
      <c r="F141" s="14">
        <v>0</v>
      </c>
      <c r="G141" s="14">
        <v>0</v>
      </c>
      <c r="H141" s="18">
        <f t="shared" si="3"/>
        <v>1000000</v>
      </c>
    </row>
    <row r="142" spans="1:8" s="7" customFormat="1" ht="15.75" x14ac:dyDescent="0.25">
      <c r="A142" s="12"/>
      <c r="B142" s="2" t="s">
        <v>11</v>
      </c>
      <c r="C142" s="14"/>
      <c r="D142" s="14">
        <v>0</v>
      </c>
      <c r="E142" s="14">
        <v>5500000</v>
      </c>
      <c r="F142" s="14">
        <v>0</v>
      </c>
      <c r="G142" s="14">
        <v>0</v>
      </c>
      <c r="H142" s="18">
        <f t="shared" si="3"/>
        <v>5500000</v>
      </c>
    </row>
    <row r="143" spans="1:8" s="7" customFormat="1" ht="15.75" x14ac:dyDescent="0.25">
      <c r="A143" s="12"/>
      <c r="B143" s="2" t="s">
        <v>24</v>
      </c>
      <c r="C143" s="14"/>
      <c r="D143" s="14">
        <v>0</v>
      </c>
      <c r="E143" s="14">
        <v>1500000</v>
      </c>
      <c r="F143" s="14">
        <v>0</v>
      </c>
      <c r="G143" s="14">
        <v>0</v>
      </c>
      <c r="H143" s="18">
        <f t="shared" si="3"/>
        <v>1500000</v>
      </c>
    </row>
    <row r="144" spans="1:8" s="7" customFormat="1" ht="15.75" x14ac:dyDescent="0.25">
      <c r="A144" s="12"/>
      <c r="B144" s="2" t="s">
        <v>25</v>
      </c>
      <c r="C144" s="14"/>
      <c r="D144" s="14">
        <v>0</v>
      </c>
      <c r="E144" s="14">
        <v>1500000</v>
      </c>
      <c r="F144" s="14">
        <v>0</v>
      </c>
      <c r="G144" s="14">
        <v>0</v>
      </c>
      <c r="H144" s="18">
        <f t="shared" si="3"/>
        <v>1500000</v>
      </c>
    </row>
    <row r="145" spans="1:8" s="7" customFormat="1" ht="15.75" x14ac:dyDescent="0.25">
      <c r="A145" s="12"/>
      <c r="B145" s="2" t="s">
        <v>29</v>
      </c>
      <c r="C145" s="14"/>
      <c r="D145" s="14">
        <v>0</v>
      </c>
      <c r="E145" s="14"/>
      <c r="F145" s="14">
        <v>0</v>
      </c>
      <c r="G145" s="14">
        <v>0</v>
      </c>
      <c r="H145" s="18">
        <f t="shared" si="3"/>
        <v>0</v>
      </c>
    </row>
    <row r="146" spans="1:8" s="7" customFormat="1" ht="15.75" x14ac:dyDescent="0.25">
      <c r="A146" s="12"/>
      <c r="B146" s="2" t="s">
        <v>69</v>
      </c>
      <c r="C146" s="14"/>
      <c r="D146" s="14">
        <v>0</v>
      </c>
      <c r="E146" s="14">
        <v>550000</v>
      </c>
      <c r="F146" s="14">
        <v>0</v>
      </c>
      <c r="G146" s="14">
        <v>0</v>
      </c>
      <c r="H146" s="18">
        <f t="shared" si="3"/>
        <v>550000</v>
      </c>
    </row>
    <row r="147" spans="1:8" s="7" customFormat="1" ht="15.75" x14ac:dyDescent="0.25">
      <c r="A147" s="12"/>
      <c r="B147" s="2" t="s">
        <v>63</v>
      </c>
      <c r="C147" s="14"/>
      <c r="D147" s="14">
        <v>0</v>
      </c>
      <c r="E147" s="14">
        <v>1000000</v>
      </c>
      <c r="F147" s="14">
        <v>0</v>
      </c>
      <c r="G147" s="14">
        <v>0</v>
      </c>
      <c r="H147" s="18">
        <f t="shared" si="3"/>
        <v>1000000</v>
      </c>
    </row>
    <row r="148" spans="1:8" s="7" customFormat="1" ht="15.75" x14ac:dyDescent="0.25">
      <c r="A148" s="12"/>
      <c r="B148" s="2" t="s">
        <v>30</v>
      </c>
      <c r="C148" s="14"/>
      <c r="D148" s="14">
        <v>0</v>
      </c>
      <c r="E148" s="14">
        <v>4000000</v>
      </c>
      <c r="F148" s="14">
        <v>0</v>
      </c>
      <c r="G148" s="14">
        <v>0</v>
      </c>
      <c r="H148" s="18">
        <f t="shared" si="3"/>
        <v>4000000</v>
      </c>
    </row>
    <row r="149" spans="1:8" s="7" customFormat="1" ht="15.75" x14ac:dyDescent="0.25">
      <c r="A149" s="12"/>
      <c r="B149" s="2" t="s">
        <v>31</v>
      </c>
      <c r="C149" s="14"/>
      <c r="D149" s="14">
        <v>0</v>
      </c>
      <c r="E149" s="14"/>
      <c r="F149" s="14">
        <v>0</v>
      </c>
      <c r="G149" s="14">
        <v>0</v>
      </c>
      <c r="H149" s="18">
        <f t="shared" si="3"/>
        <v>0</v>
      </c>
    </row>
    <row r="150" spans="1:8" s="7" customFormat="1" ht="15.75" x14ac:dyDescent="0.25">
      <c r="A150" s="12"/>
      <c r="B150" s="2" t="s">
        <v>32</v>
      </c>
      <c r="C150" s="14"/>
      <c r="D150" s="14">
        <v>0</v>
      </c>
      <c r="E150" s="14">
        <v>3000000</v>
      </c>
      <c r="F150" s="14">
        <v>0</v>
      </c>
      <c r="G150" s="14">
        <v>0</v>
      </c>
      <c r="H150" s="18">
        <f t="shared" si="3"/>
        <v>3000000</v>
      </c>
    </row>
    <row r="151" spans="1:8" s="7" customFormat="1" ht="15.75" x14ac:dyDescent="0.25">
      <c r="A151" s="12"/>
      <c r="B151" s="2" t="s">
        <v>13</v>
      </c>
      <c r="C151" s="14"/>
      <c r="D151" s="14">
        <v>0</v>
      </c>
      <c r="E151" s="14"/>
      <c r="F151" s="14">
        <v>0</v>
      </c>
      <c r="G151" s="14">
        <v>0</v>
      </c>
      <c r="H151" s="18">
        <f t="shared" si="3"/>
        <v>0</v>
      </c>
    </row>
    <row r="152" spans="1:8" s="7" customFormat="1" ht="15.75" x14ac:dyDescent="0.25">
      <c r="A152" s="12"/>
      <c r="B152" s="2" t="s">
        <v>26</v>
      </c>
      <c r="C152" s="14"/>
      <c r="D152" s="14">
        <v>0</v>
      </c>
      <c r="E152" s="14">
        <v>10000000</v>
      </c>
      <c r="F152" s="14">
        <v>0</v>
      </c>
      <c r="G152" s="14">
        <v>0</v>
      </c>
      <c r="H152" s="18">
        <f t="shared" si="3"/>
        <v>10000000</v>
      </c>
    </row>
    <row r="153" spans="1:8" s="7" customFormat="1" ht="15.75" x14ac:dyDescent="0.25">
      <c r="A153" s="12"/>
      <c r="B153" s="2" t="s">
        <v>46</v>
      </c>
      <c r="C153" s="14"/>
      <c r="D153" s="14">
        <v>0</v>
      </c>
      <c r="E153" s="14">
        <v>3000000</v>
      </c>
      <c r="F153" s="14">
        <v>0</v>
      </c>
      <c r="G153" s="14">
        <v>0</v>
      </c>
      <c r="H153" s="18">
        <f t="shared" si="3"/>
        <v>3000000</v>
      </c>
    </row>
    <row r="154" spans="1:8" s="7" customFormat="1" ht="15.75" x14ac:dyDescent="0.25">
      <c r="A154" s="12"/>
      <c r="B154" s="2" t="s">
        <v>66</v>
      </c>
      <c r="C154" s="14"/>
      <c r="D154" s="14">
        <v>0</v>
      </c>
      <c r="E154" s="14">
        <v>0</v>
      </c>
      <c r="F154" s="14">
        <v>0</v>
      </c>
      <c r="G154" s="14">
        <v>0</v>
      </c>
      <c r="H154" s="18">
        <f t="shared" si="3"/>
        <v>0</v>
      </c>
    </row>
    <row r="155" spans="1:8" s="7" customFormat="1" ht="15.75" x14ac:dyDescent="0.25">
      <c r="A155" s="12"/>
      <c r="B155" s="2" t="s">
        <v>928</v>
      </c>
      <c r="C155" s="14"/>
      <c r="D155" s="14"/>
      <c r="E155" s="14">
        <v>1000000</v>
      </c>
      <c r="F155" s="14"/>
      <c r="G155" s="14"/>
      <c r="H155" s="18">
        <f t="shared" si="3"/>
        <v>1000000</v>
      </c>
    </row>
    <row r="156" spans="1:8" s="7" customFormat="1" ht="15.75" x14ac:dyDescent="0.25">
      <c r="A156" s="12"/>
      <c r="B156" s="2" t="s">
        <v>33</v>
      </c>
      <c r="C156" s="14"/>
      <c r="D156" s="14">
        <v>0</v>
      </c>
      <c r="E156" s="14">
        <v>250000</v>
      </c>
      <c r="F156" s="14">
        <v>0</v>
      </c>
      <c r="G156" s="14">
        <v>0</v>
      </c>
      <c r="H156" s="18">
        <f t="shared" si="3"/>
        <v>250000</v>
      </c>
    </row>
    <row r="157" spans="1:8" s="7" customFormat="1" ht="15.75" x14ac:dyDescent="0.25">
      <c r="A157" s="12"/>
      <c r="B157" s="2" t="s">
        <v>48</v>
      </c>
      <c r="C157" s="14"/>
      <c r="D157" s="14">
        <v>0</v>
      </c>
      <c r="E157" s="14">
        <v>0</v>
      </c>
      <c r="F157" s="14">
        <v>0</v>
      </c>
      <c r="G157" s="14">
        <v>0</v>
      </c>
      <c r="H157" s="18">
        <f t="shared" si="3"/>
        <v>0</v>
      </c>
    </row>
    <row r="158" spans="1:8" s="7" customFormat="1" ht="15.75" x14ac:dyDescent="0.25">
      <c r="A158" s="12"/>
      <c r="B158" s="2" t="s">
        <v>47</v>
      </c>
      <c r="C158" s="14"/>
      <c r="D158" s="14">
        <v>0</v>
      </c>
      <c r="E158" s="14">
        <v>6500000</v>
      </c>
      <c r="F158" s="14">
        <v>0</v>
      </c>
      <c r="G158" s="14">
        <v>0</v>
      </c>
      <c r="H158" s="18">
        <f t="shared" si="3"/>
        <v>6500000</v>
      </c>
    </row>
    <row r="159" spans="1:8" s="7" customFormat="1" ht="15.75" x14ac:dyDescent="0.25">
      <c r="A159" s="12"/>
      <c r="B159" s="2" t="s">
        <v>16</v>
      </c>
      <c r="C159" s="14"/>
      <c r="D159" s="14">
        <v>0</v>
      </c>
      <c r="E159" s="14">
        <v>2000000</v>
      </c>
      <c r="F159" s="14">
        <v>0</v>
      </c>
      <c r="G159" s="14">
        <v>0</v>
      </c>
      <c r="H159" s="18">
        <f t="shared" si="3"/>
        <v>2000000</v>
      </c>
    </row>
    <row r="160" spans="1:8" s="7" customFormat="1" ht="15.75" x14ac:dyDescent="0.25">
      <c r="A160" s="12"/>
      <c r="B160" s="2" t="s">
        <v>543</v>
      </c>
      <c r="C160" s="14"/>
      <c r="D160" s="14">
        <v>13800000</v>
      </c>
      <c r="E160" s="14">
        <v>-13800000</v>
      </c>
      <c r="F160" s="14">
        <v>0</v>
      </c>
      <c r="G160" s="14">
        <v>0</v>
      </c>
      <c r="H160" s="18">
        <f t="shared" si="3"/>
        <v>0</v>
      </c>
    </row>
    <row r="161" spans="1:12" s="7" customFormat="1" ht="15.75" x14ac:dyDescent="0.25">
      <c r="A161" s="12" t="s">
        <v>706</v>
      </c>
      <c r="B161" s="2" t="s">
        <v>816</v>
      </c>
      <c r="C161" s="14"/>
      <c r="D161" s="14"/>
      <c r="E161" s="14"/>
      <c r="F161" s="14"/>
      <c r="G161" s="14"/>
      <c r="H161" s="18">
        <f t="shared" si="3"/>
        <v>0</v>
      </c>
    </row>
    <row r="162" spans="1:12" s="7" customFormat="1" ht="15.75" x14ac:dyDescent="0.25">
      <c r="A162" s="12" t="s">
        <v>711</v>
      </c>
      <c r="B162" s="2" t="s">
        <v>817</v>
      </c>
      <c r="C162" s="14"/>
      <c r="D162" s="14">
        <v>0</v>
      </c>
      <c r="E162" s="14">
        <v>0</v>
      </c>
      <c r="F162" s="14">
        <v>0</v>
      </c>
      <c r="G162" s="14"/>
      <c r="H162" s="18">
        <f t="shared" si="3"/>
        <v>0</v>
      </c>
    </row>
    <row r="163" spans="1:12" s="7" customFormat="1" ht="15.75" x14ac:dyDescent="0.25">
      <c r="A163" s="12" t="s">
        <v>224</v>
      </c>
      <c r="B163" s="2" t="s">
        <v>58</v>
      </c>
      <c r="C163" s="14">
        <f>450000+50000</f>
        <v>500000</v>
      </c>
      <c r="D163" s="14">
        <v>500000</v>
      </c>
      <c r="E163" s="14">
        <v>1500000</v>
      </c>
      <c r="F163" s="14">
        <v>500000</v>
      </c>
      <c r="G163" s="14">
        <v>500000</v>
      </c>
      <c r="H163" s="18">
        <f t="shared" si="3"/>
        <v>3500000</v>
      </c>
    </row>
    <row r="164" spans="1:12" s="7" customFormat="1" ht="15.75" x14ac:dyDescent="0.25">
      <c r="A164" s="49"/>
      <c r="B164" s="49" t="s">
        <v>78</v>
      </c>
      <c r="C164" s="50">
        <f>SUM(C123:C163)</f>
        <v>1250000</v>
      </c>
      <c r="D164" s="50">
        <f>SUM(D123:D163)</f>
        <v>15050000</v>
      </c>
      <c r="E164" s="50">
        <f>SUM(E123:E163)</f>
        <v>44475000</v>
      </c>
      <c r="F164" s="50">
        <f>SUM(F123:F163)</f>
        <v>1250000</v>
      </c>
      <c r="G164" s="50">
        <f>SUM(G123:G163)</f>
        <v>1275000</v>
      </c>
      <c r="H164" s="50">
        <f>SUM(C164:G164)</f>
        <v>63300000</v>
      </c>
      <c r="I164" s="17"/>
      <c r="J164" s="17"/>
      <c r="K164" s="17"/>
      <c r="L164" s="17"/>
    </row>
    <row r="165" spans="1:12" s="7" customFormat="1" ht="15.75" x14ac:dyDescent="0.25">
      <c r="A165" s="12"/>
      <c r="B165" s="5"/>
      <c r="C165" s="8"/>
      <c r="D165" s="8"/>
      <c r="E165" s="8"/>
      <c r="F165" s="8"/>
      <c r="G165" s="8"/>
      <c r="H165" s="4"/>
    </row>
    <row r="166" spans="1:12" s="7" customFormat="1" ht="15.75" x14ac:dyDescent="0.25">
      <c r="A166" s="12"/>
      <c r="B166" s="10" t="s">
        <v>73</v>
      </c>
      <c r="C166" s="8"/>
      <c r="D166" s="8"/>
      <c r="E166" s="8"/>
      <c r="F166" s="8"/>
      <c r="G166" s="8"/>
      <c r="H166" s="4"/>
    </row>
    <row r="167" spans="1:12" s="7" customFormat="1" ht="15.75" x14ac:dyDescent="0.25">
      <c r="A167" s="12" t="s">
        <v>712</v>
      </c>
      <c r="B167" s="2" t="s">
        <v>713</v>
      </c>
      <c r="C167" s="14"/>
      <c r="D167" s="14">
        <v>0</v>
      </c>
      <c r="E167" s="14">
        <v>0</v>
      </c>
      <c r="F167" s="14">
        <v>0</v>
      </c>
      <c r="G167" s="29">
        <v>0</v>
      </c>
      <c r="H167" s="29">
        <f>SUM(C167:G167)</f>
        <v>0</v>
      </c>
    </row>
    <row r="168" spans="1:12" s="7" customFormat="1" ht="15.75" x14ac:dyDescent="0.25">
      <c r="A168" s="12" t="s">
        <v>707</v>
      </c>
      <c r="B168" s="2" t="s">
        <v>818</v>
      </c>
      <c r="C168" s="14"/>
      <c r="D168" s="14"/>
      <c r="E168" s="14"/>
      <c r="F168" s="14"/>
      <c r="G168" s="29"/>
      <c r="H168" s="29"/>
    </row>
    <row r="169" spans="1:12" s="7" customFormat="1" ht="15.75" x14ac:dyDescent="0.25">
      <c r="A169" s="12"/>
      <c r="B169" s="2" t="s">
        <v>930</v>
      </c>
      <c r="C169" s="14"/>
      <c r="D169" s="14">
        <v>1000000</v>
      </c>
      <c r="E169" s="14"/>
      <c r="F169" s="14"/>
      <c r="G169" s="14"/>
      <c r="H169" s="18">
        <f t="shared" ref="H169:H170" si="4">SUM(C169:G169)</f>
        <v>1000000</v>
      </c>
    </row>
    <row r="170" spans="1:12" s="7" customFormat="1" ht="15.75" x14ac:dyDescent="0.25">
      <c r="A170" s="12"/>
      <c r="B170" s="2" t="s">
        <v>931</v>
      </c>
      <c r="C170" s="14"/>
      <c r="D170" s="14"/>
      <c r="E170" s="14">
        <v>1000000</v>
      </c>
      <c r="F170" s="14"/>
      <c r="G170" s="14"/>
      <c r="H170" s="18">
        <f t="shared" si="4"/>
        <v>1000000</v>
      </c>
    </row>
    <row r="171" spans="1:12" s="7" customFormat="1" ht="15.75" x14ac:dyDescent="0.25">
      <c r="A171" s="12" t="s">
        <v>198</v>
      </c>
      <c r="B171" s="2" t="s">
        <v>905</v>
      </c>
      <c r="C171" s="14">
        <f>1350000+150000</f>
        <v>1500000</v>
      </c>
      <c r="D171" s="14">
        <v>1500000</v>
      </c>
      <c r="E171" s="14">
        <v>1500000</v>
      </c>
      <c r="F171" s="14">
        <v>1500000</v>
      </c>
      <c r="G171" s="14">
        <v>1500000</v>
      </c>
      <c r="H171" s="59">
        <f>SUM(C171:G171)</f>
        <v>7500000</v>
      </c>
    </row>
    <row r="172" spans="1:12" s="7" customFormat="1" ht="15.75" x14ac:dyDescent="0.25">
      <c r="A172" s="49"/>
      <c r="B172" s="49" t="s">
        <v>79</v>
      </c>
      <c r="C172" s="50">
        <f>SUM(C167:C171)</f>
        <v>1500000</v>
      </c>
      <c r="D172" s="50">
        <f>SUM(D167:D171)</f>
        <v>2500000</v>
      </c>
      <c r="E172" s="50">
        <f>SUM(E167:E171)</f>
        <v>2500000</v>
      </c>
      <c r="F172" s="50">
        <f>SUM(F167:F171)</f>
        <v>1500000</v>
      </c>
      <c r="G172" s="50">
        <f>SUM(G167:G171)</f>
        <v>1500000</v>
      </c>
      <c r="H172" s="50">
        <f>SUM(C172:G172)</f>
        <v>9500000</v>
      </c>
      <c r="I172" s="17"/>
      <c r="J172" s="17"/>
      <c r="K172" s="17"/>
      <c r="L172" s="17"/>
    </row>
    <row r="173" spans="1:12" s="7" customFormat="1" ht="15.75" x14ac:dyDescent="0.25">
      <c r="A173" s="12"/>
      <c r="B173" s="5"/>
      <c r="C173" s="8"/>
      <c r="D173" s="8"/>
      <c r="E173" s="8"/>
      <c r="F173" s="8"/>
      <c r="G173" s="8"/>
      <c r="H173" s="4"/>
    </row>
    <row r="174" spans="1:12" s="7" customFormat="1" ht="15.75" x14ac:dyDescent="0.25">
      <c r="A174" s="12"/>
      <c r="B174" s="10" t="s">
        <v>74</v>
      </c>
      <c r="C174" s="8"/>
      <c r="D174" s="8"/>
      <c r="E174" s="8"/>
      <c r="F174" s="8"/>
      <c r="G174" s="8"/>
      <c r="H174" s="4"/>
    </row>
    <row r="175" spans="1:12" s="7" customFormat="1" ht="15.75" x14ac:dyDescent="0.25">
      <c r="A175" s="12" t="s">
        <v>724</v>
      </c>
      <c r="B175" s="2" t="s">
        <v>819</v>
      </c>
      <c r="C175" s="14"/>
      <c r="D175" s="14">
        <v>0</v>
      </c>
      <c r="E175" s="14">
        <v>0</v>
      </c>
      <c r="F175" s="14">
        <v>0</v>
      </c>
      <c r="G175" s="29"/>
      <c r="H175" s="29">
        <f>SUM(C175:G175)</f>
        <v>0</v>
      </c>
    </row>
    <row r="176" spans="1:12" s="7" customFormat="1" ht="15.75" x14ac:dyDescent="0.25">
      <c r="A176" s="12" t="s">
        <v>568</v>
      </c>
      <c r="B176" s="2" t="s">
        <v>246</v>
      </c>
      <c r="C176" s="14">
        <f>900000+100000</f>
        <v>1000000</v>
      </c>
      <c r="D176" s="14">
        <v>1000000</v>
      </c>
      <c r="E176" s="14">
        <v>1000000</v>
      </c>
      <c r="F176" s="14">
        <v>1000000</v>
      </c>
      <c r="G176" s="14">
        <v>1000000</v>
      </c>
      <c r="H176" s="59">
        <f t="shared" ref="H176:H217" si="5">SUM(C176:G176)</f>
        <v>5000000</v>
      </c>
    </row>
    <row r="177" spans="1:8" s="7" customFormat="1" ht="15.75" x14ac:dyDescent="0.25">
      <c r="A177" s="12"/>
      <c r="B177" s="2" t="s">
        <v>929</v>
      </c>
      <c r="C177" s="14"/>
      <c r="D177" s="14"/>
      <c r="E177" s="14"/>
      <c r="F177" s="14">
        <v>4000000</v>
      </c>
      <c r="G177" s="29"/>
      <c r="H177" s="29">
        <f t="shared" si="5"/>
        <v>4000000</v>
      </c>
    </row>
    <row r="178" spans="1:8" s="48" customFormat="1" ht="15.75" x14ac:dyDescent="0.25">
      <c r="A178" s="46"/>
      <c r="B178" s="47" t="s">
        <v>932</v>
      </c>
      <c r="C178" s="45"/>
      <c r="D178" s="45">
        <v>500000</v>
      </c>
      <c r="E178" s="45"/>
      <c r="F178" s="45"/>
      <c r="G178" s="63"/>
      <c r="H178" s="29">
        <f t="shared" si="5"/>
        <v>500000</v>
      </c>
    </row>
    <row r="179" spans="1:8" s="7" customFormat="1" ht="15.75" x14ac:dyDescent="0.25">
      <c r="A179" s="12" t="s">
        <v>544</v>
      </c>
      <c r="B179" s="2" t="s">
        <v>545</v>
      </c>
      <c r="C179" s="14"/>
      <c r="D179" s="14">
        <v>0</v>
      </c>
      <c r="E179" s="14">
        <v>0</v>
      </c>
      <c r="F179" s="14">
        <v>0</v>
      </c>
      <c r="G179" s="14">
        <v>0</v>
      </c>
      <c r="H179" s="59">
        <f t="shared" si="5"/>
        <v>0</v>
      </c>
    </row>
    <row r="180" spans="1:8" s="7" customFormat="1" ht="15.75" x14ac:dyDescent="0.25">
      <c r="A180" s="12" t="s">
        <v>546</v>
      </c>
      <c r="B180" s="2" t="s">
        <v>547</v>
      </c>
      <c r="C180" s="14"/>
      <c r="D180" s="14">
        <v>0</v>
      </c>
      <c r="E180" s="14">
        <v>0</v>
      </c>
      <c r="F180" s="14">
        <v>0</v>
      </c>
      <c r="G180" s="14">
        <v>0</v>
      </c>
      <c r="H180" s="59">
        <f t="shared" si="5"/>
        <v>0</v>
      </c>
    </row>
    <row r="181" spans="1:8" s="7" customFormat="1" ht="15.75" x14ac:dyDescent="0.25">
      <c r="A181" s="12" t="s">
        <v>247</v>
      </c>
      <c r="B181" s="2" t="s">
        <v>674</v>
      </c>
      <c r="C181" s="14"/>
      <c r="D181" s="14">
        <v>0</v>
      </c>
      <c r="E181" s="14">
        <v>0</v>
      </c>
      <c r="F181" s="14">
        <v>0</v>
      </c>
      <c r="G181" s="14">
        <v>0</v>
      </c>
      <c r="H181" s="59">
        <f t="shared" si="5"/>
        <v>0</v>
      </c>
    </row>
    <row r="182" spans="1:8" s="7" customFormat="1" ht="15.75" x14ac:dyDescent="0.25">
      <c r="A182" s="12" t="s">
        <v>719</v>
      </c>
      <c r="B182" s="2" t="s">
        <v>820</v>
      </c>
      <c r="C182" s="14"/>
      <c r="D182" s="14">
        <v>0</v>
      </c>
      <c r="E182" s="14">
        <v>0</v>
      </c>
      <c r="F182" s="14">
        <v>0</v>
      </c>
      <c r="G182" s="14">
        <v>0</v>
      </c>
      <c r="H182" s="59">
        <f t="shared" si="5"/>
        <v>0</v>
      </c>
    </row>
    <row r="183" spans="1:8" s="7" customFormat="1" ht="15.75" x14ac:dyDescent="0.25">
      <c r="A183" s="12" t="s">
        <v>549</v>
      </c>
      <c r="B183" s="2" t="s">
        <v>550</v>
      </c>
      <c r="C183" s="14"/>
      <c r="D183" s="14">
        <v>0</v>
      </c>
      <c r="E183" s="14">
        <v>0</v>
      </c>
      <c r="F183" s="14">
        <v>0</v>
      </c>
      <c r="G183" s="14">
        <v>0</v>
      </c>
      <c r="H183" s="59">
        <f t="shared" si="5"/>
        <v>0</v>
      </c>
    </row>
    <row r="184" spans="1:8" s="7" customFormat="1" ht="15.75" x14ac:dyDescent="0.25">
      <c r="A184" s="12" t="s">
        <v>551</v>
      </c>
      <c r="B184" s="2" t="s">
        <v>552</v>
      </c>
      <c r="C184" s="14"/>
      <c r="D184" s="14">
        <v>0</v>
      </c>
      <c r="E184" s="14">
        <v>0</v>
      </c>
      <c r="F184" s="14">
        <v>0</v>
      </c>
      <c r="G184" s="14">
        <v>0</v>
      </c>
      <c r="H184" s="59">
        <f t="shared" si="5"/>
        <v>0</v>
      </c>
    </row>
    <row r="185" spans="1:8" s="7" customFormat="1" ht="15.75" x14ac:dyDescent="0.25">
      <c r="A185" s="12" t="s">
        <v>717</v>
      </c>
      <c r="B185" s="2" t="s">
        <v>821</v>
      </c>
      <c r="C185" s="14"/>
      <c r="D185" s="14">
        <v>0</v>
      </c>
      <c r="E185" s="14">
        <v>0</v>
      </c>
      <c r="F185" s="14">
        <v>0</v>
      </c>
      <c r="G185" s="14">
        <v>0</v>
      </c>
      <c r="H185" s="59">
        <f t="shared" si="5"/>
        <v>0</v>
      </c>
    </row>
    <row r="186" spans="1:8" s="7" customFormat="1" ht="15.75" x14ac:dyDescent="0.25">
      <c r="A186" s="12" t="s">
        <v>553</v>
      </c>
      <c r="B186" s="2" t="s">
        <v>554</v>
      </c>
      <c r="C186" s="14">
        <f>229559+50000</f>
        <v>279559</v>
      </c>
      <c r="D186" s="14">
        <v>0</v>
      </c>
      <c r="E186" s="14">
        <v>0</v>
      </c>
      <c r="F186" s="14">
        <v>0</v>
      </c>
      <c r="G186" s="14">
        <v>0</v>
      </c>
      <c r="H186" s="59">
        <f t="shared" si="5"/>
        <v>279559</v>
      </c>
    </row>
    <row r="187" spans="1:8" s="7" customFormat="1" ht="15.75" x14ac:dyDescent="0.25">
      <c r="A187" s="12" t="s">
        <v>555</v>
      </c>
      <c r="B187" s="2" t="s">
        <v>556</v>
      </c>
      <c r="C187" s="14">
        <f>113385+700</f>
        <v>114085</v>
      </c>
      <c r="D187" s="14">
        <v>0</v>
      </c>
      <c r="E187" s="14">
        <v>0</v>
      </c>
      <c r="F187" s="14">
        <v>0</v>
      </c>
      <c r="G187" s="14">
        <v>0</v>
      </c>
      <c r="H187" s="59">
        <f t="shared" si="5"/>
        <v>114085</v>
      </c>
    </row>
    <row r="188" spans="1:8" s="7" customFormat="1" ht="15.75" x14ac:dyDescent="0.25">
      <c r="A188" s="12" t="s">
        <v>557</v>
      </c>
      <c r="B188" s="2" t="s">
        <v>558</v>
      </c>
      <c r="C188" s="14">
        <f>184683+6000</f>
        <v>190683</v>
      </c>
      <c r="D188" s="14">
        <v>0</v>
      </c>
      <c r="E188" s="14">
        <v>0</v>
      </c>
      <c r="F188" s="14">
        <v>0</v>
      </c>
      <c r="G188" s="14">
        <v>0</v>
      </c>
      <c r="H188" s="59">
        <f t="shared" si="5"/>
        <v>190683</v>
      </c>
    </row>
    <row r="189" spans="1:8" s="7" customFormat="1" ht="15.75" x14ac:dyDescent="0.25">
      <c r="A189" s="12" t="s">
        <v>559</v>
      </c>
      <c r="B189" s="2" t="s">
        <v>560</v>
      </c>
      <c r="C189" s="14"/>
      <c r="D189" s="14">
        <v>0</v>
      </c>
      <c r="E189" s="14">
        <v>0</v>
      </c>
      <c r="F189" s="14">
        <v>0</v>
      </c>
      <c r="G189" s="14">
        <v>0</v>
      </c>
      <c r="H189" s="59">
        <f t="shared" si="5"/>
        <v>0</v>
      </c>
    </row>
    <row r="190" spans="1:8" s="7" customFormat="1" ht="15.75" x14ac:dyDescent="0.25">
      <c r="A190" s="12" t="s">
        <v>714</v>
      </c>
      <c r="B190" s="2" t="s">
        <v>822</v>
      </c>
      <c r="C190" s="14"/>
      <c r="D190" s="14">
        <v>0</v>
      </c>
      <c r="E190" s="14">
        <v>0</v>
      </c>
      <c r="F190" s="14">
        <v>0</v>
      </c>
      <c r="G190" s="14">
        <v>0</v>
      </c>
      <c r="H190" s="59">
        <f t="shared" si="5"/>
        <v>0</v>
      </c>
    </row>
    <row r="191" spans="1:8" s="7" customFormat="1" ht="15.75" x14ac:dyDescent="0.25">
      <c r="A191" s="12" t="s">
        <v>715</v>
      </c>
      <c r="B191" s="2" t="s">
        <v>823</v>
      </c>
      <c r="C191" s="14"/>
      <c r="D191" s="14">
        <v>0</v>
      </c>
      <c r="E191" s="14">
        <v>0</v>
      </c>
      <c r="F191" s="14">
        <v>0</v>
      </c>
      <c r="G191" s="14">
        <v>0</v>
      </c>
      <c r="H191" s="59">
        <f t="shared" si="5"/>
        <v>0</v>
      </c>
    </row>
    <row r="192" spans="1:8" s="7" customFormat="1" ht="15.75" x14ac:dyDescent="0.25">
      <c r="A192" s="12" t="s">
        <v>716</v>
      </c>
      <c r="B192" s="2" t="s">
        <v>824</v>
      </c>
      <c r="C192" s="14"/>
      <c r="D192" s="14">
        <v>0</v>
      </c>
      <c r="E192" s="14">
        <v>0</v>
      </c>
      <c r="F192" s="14">
        <v>0</v>
      </c>
      <c r="G192" s="14">
        <v>0</v>
      </c>
      <c r="H192" s="59">
        <f t="shared" si="5"/>
        <v>0</v>
      </c>
    </row>
    <row r="193" spans="1:8" s="7" customFormat="1" ht="15.75" x14ac:dyDescent="0.25">
      <c r="A193" s="12" t="s">
        <v>561</v>
      </c>
      <c r="B193" s="2" t="s">
        <v>825</v>
      </c>
      <c r="C193" s="14"/>
      <c r="D193" s="14">
        <v>0</v>
      </c>
      <c r="E193" s="14">
        <v>0</v>
      </c>
      <c r="F193" s="14">
        <v>0</v>
      </c>
      <c r="G193" s="14">
        <v>0</v>
      </c>
      <c r="H193" s="59">
        <f t="shared" si="5"/>
        <v>0</v>
      </c>
    </row>
    <row r="194" spans="1:8" s="7" customFormat="1" ht="15.75" x14ac:dyDescent="0.25">
      <c r="A194" s="12" t="s">
        <v>769</v>
      </c>
      <c r="B194" s="2" t="s">
        <v>826</v>
      </c>
      <c r="C194" s="14"/>
      <c r="D194" s="14">
        <v>0</v>
      </c>
      <c r="E194" s="14">
        <v>0</v>
      </c>
      <c r="F194" s="14">
        <v>0</v>
      </c>
      <c r="G194" s="14">
        <v>0</v>
      </c>
      <c r="H194" s="59">
        <f>SUM(C194:G194)</f>
        <v>0</v>
      </c>
    </row>
    <row r="195" spans="1:8" s="7" customFormat="1" ht="15.75" x14ac:dyDescent="0.25">
      <c r="A195" s="12" t="s">
        <v>709</v>
      </c>
      <c r="B195" s="2" t="s">
        <v>827</v>
      </c>
      <c r="C195" s="14"/>
      <c r="D195" s="14">
        <v>0</v>
      </c>
      <c r="E195" s="14">
        <v>0</v>
      </c>
      <c r="F195" s="14">
        <v>0</v>
      </c>
      <c r="G195" s="14">
        <v>0</v>
      </c>
      <c r="H195" s="59">
        <f t="shared" si="5"/>
        <v>0</v>
      </c>
    </row>
    <row r="196" spans="1:8" s="7" customFormat="1" ht="15.75" x14ac:dyDescent="0.25">
      <c r="A196" s="12" t="s">
        <v>710</v>
      </c>
      <c r="B196" s="2" t="s">
        <v>828</v>
      </c>
      <c r="C196" s="14"/>
      <c r="D196" s="14">
        <v>0</v>
      </c>
      <c r="E196" s="14">
        <v>0</v>
      </c>
      <c r="F196" s="14">
        <v>0</v>
      </c>
      <c r="G196" s="14">
        <v>0</v>
      </c>
      <c r="H196" s="59">
        <f t="shared" si="5"/>
        <v>0</v>
      </c>
    </row>
    <row r="197" spans="1:8" s="7" customFormat="1" ht="15.75" x14ac:dyDescent="0.25">
      <c r="A197" s="12" t="s">
        <v>770</v>
      </c>
      <c r="B197" s="2" t="s">
        <v>771</v>
      </c>
      <c r="C197" s="14"/>
      <c r="D197" s="14">
        <v>0</v>
      </c>
      <c r="E197" s="14">
        <v>0</v>
      </c>
      <c r="F197" s="14">
        <v>0</v>
      </c>
      <c r="G197" s="14">
        <v>0</v>
      </c>
      <c r="H197" s="59">
        <f>SUM(C197:G197)</f>
        <v>0</v>
      </c>
    </row>
    <row r="198" spans="1:8" s="7" customFormat="1" ht="15.75" x14ac:dyDescent="0.25">
      <c r="A198" s="12" t="s">
        <v>562</v>
      </c>
      <c r="B198" s="2" t="s">
        <v>675</v>
      </c>
      <c r="C198" s="14"/>
      <c r="D198" s="14">
        <v>0</v>
      </c>
      <c r="E198" s="14">
        <v>0</v>
      </c>
      <c r="F198" s="14">
        <v>0</v>
      </c>
      <c r="G198" s="14">
        <v>0</v>
      </c>
      <c r="H198" s="59">
        <f t="shared" si="5"/>
        <v>0</v>
      </c>
    </row>
    <row r="199" spans="1:8" s="7" customFormat="1" ht="15.75" x14ac:dyDescent="0.25">
      <c r="A199" s="12" t="s">
        <v>256</v>
      </c>
      <c r="B199" s="2" t="s">
        <v>676</v>
      </c>
      <c r="C199" s="14"/>
      <c r="D199" s="14">
        <v>0</v>
      </c>
      <c r="E199" s="14">
        <v>0</v>
      </c>
      <c r="F199" s="14">
        <v>0</v>
      </c>
      <c r="G199" s="14">
        <v>0</v>
      </c>
      <c r="H199" s="59">
        <f t="shared" si="5"/>
        <v>0</v>
      </c>
    </row>
    <row r="200" spans="1:8" s="7" customFormat="1" ht="15.75" x14ac:dyDescent="0.25">
      <c r="A200" s="12" t="s">
        <v>563</v>
      </c>
      <c r="B200" s="2" t="s">
        <v>677</v>
      </c>
      <c r="C200" s="14"/>
      <c r="D200" s="14">
        <v>0</v>
      </c>
      <c r="E200" s="14">
        <v>0</v>
      </c>
      <c r="F200" s="14">
        <v>0</v>
      </c>
      <c r="G200" s="14">
        <v>0</v>
      </c>
      <c r="H200" s="59">
        <f t="shared" si="5"/>
        <v>0</v>
      </c>
    </row>
    <row r="201" spans="1:8" s="7" customFormat="1" ht="15.75" x14ac:dyDescent="0.25">
      <c r="A201" s="12" t="s">
        <v>564</v>
      </c>
      <c r="B201" s="2" t="s">
        <v>678</v>
      </c>
      <c r="C201" s="14">
        <v>147183</v>
      </c>
      <c r="D201" s="14">
        <v>0</v>
      </c>
      <c r="E201" s="14">
        <v>0</v>
      </c>
      <c r="F201" s="14">
        <v>0</v>
      </c>
      <c r="G201" s="14">
        <v>0</v>
      </c>
      <c r="H201" s="59">
        <f t="shared" si="5"/>
        <v>147183</v>
      </c>
    </row>
    <row r="202" spans="1:8" s="7" customFormat="1" ht="15.75" x14ac:dyDescent="0.25">
      <c r="A202" s="12" t="s">
        <v>682</v>
      </c>
      <c r="B202" s="2" t="s">
        <v>683</v>
      </c>
      <c r="C202" s="14"/>
      <c r="D202" s="14">
        <v>0</v>
      </c>
      <c r="E202" s="14">
        <v>0</v>
      </c>
      <c r="F202" s="14">
        <v>0</v>
      </c>
      <c r="G202" s="14">
        <v>0</v>
      </c>
      <c r="H202" s="59">
        <f t="shared" si="5"/>
        <v>0</v>
      </c>
    </row>
    <row r="203" spans="1:8" s="7" customFormat="1" ht="15.75" x14ac:dyDescent="0.25">
      <c r="A203" s="12" t="s">
        <v>639</v>
      </c>
      <c r="B203" s="2" t="s">
        <v>681</v>
      </c>
      <c r="C203" s="14">
        <f>180000+20000</f>
        <v>200000</v>
      </c>
      <c r="D203" s="14">
        <v>200000</v>
      </c>
      <c r="E203" s="14">
        <v>200000</v>
      </c>
      <c r="F203" s="14">
        <v>200000</v>
      </c>
      <c r="G203" s="14">
        <v>200000</v>
      </c>
      <c r="H203" s="59">
        <f t="shared" si="5"/>
        <v>1000000</v>
      </c>
    </row>
    <row r="204" spans="1:8" s="7" customFormat="1" ht="15.75" x14ac:dyDescent="0.25">
      <c r="A204" s="12" t="s">
        <v>565</v>
      </c>
      <c r="B204" s="2" t="s">
        <v>679</v>
      </c>
      <c r="C204" s="14"/>
      <c r="D204" s="14">
        <v>0</v>
      </c>
      <c r="E204" s="14">
        <v>0</v>
      </c>
      <c r="F204" s="14">
        <v>0</v>
      </c>
      <c r="G204" s="14">
        <v>0</v>
      </c>
      <c r="H204" s="59">
        <f t="shared" si="5"/>
        <v>0</v>
      </c>
    </row>
    <row r="205" spans="1:8" s="7" customFormat="1" ht="15.75" x14ac:dyDescent="0.25">
      <c r="A205" s="12" t="s">
        <v>567</v>
      </c>
      <c r="B205" s="2" t="s">
        <v>37</v>
      </c>
      <c r="C205" s="14">
        <v>1500000</v>
      </c>
      <c r="D205" s="14">
        <v>0</v>
      </c>
      <c r="E205" s="14">
        <v>0</v>
      </c>
      <c r="F205" s="14">
        <v>0</v>
      </c>
      <c r="G205" s="14">
        <v>0</v>
      </c>
      <c r="H205" s="59">
        <f t="shared" si="5"/>
        <v>1500000</v>
      </c>
    </row>
    <row r="206" spans="1:8" s="7" customFormat="1" ht="15.75" x14ac:dyDescent="0.25">
      <c r="A206" s="12" t="s">
        <v>225</v>
      </c>
      <c r="B206" s="2" t="s">
        <v>680</v>
      </c>
      <c r="C206" s="14"/>
      <c r="D206" s="14">
        <v>0</v>
      </c>
      <c r="E206" s="14">
        <v>0</v>
      </c>
      <c r="F206" s="14">
        <v>0</v>
      </c>
      <c r="G206" s="29"/>
      <c r="H206" s="59">
        <f t="shared" si="5"/>
        <v>0</v>
      </c>
    </row>
    <row r="207" spans="1:8" s="7" customFormat="1" ht="15.75" x14ac:dyDescent="0.25">
      <c r="A207" s="12" t="s">
        <v>897</v>
      </c>
      <c r="B207" s="2" t="s">
        <v>566</v>
      </c>
      <c r="C207" s="14">
        <f>270000+30000</f>
        <v>300000</v>
      </c>
      <c r="D207" s="14">
        <v>0</v>
      </c>
      <c r="E207" s="14">
        <v>0</v>
      </c>
      <c r="F207" s="14">
        <v>0</v>
      </c>
      <c r="G207" s="14">
        <v>0</v>
      </c>
      <c r="H207" s="59">
        <f t="shared" si="5"/>
        <v>300000</v>
      </c>
    </row>
    <row r="208" spans="1:8" s="7" customFormat="1" ht="15.75" x14ac:dyDescent="0.25">
      <c r="A208" s="12" t="s">
        <v>898</v>
      </c>
      <c r="B208" s="2" t="s">
        <v>35</v>
      </c>
      <c r="C208" s="14">
        <f>1800000+200000</f>
        <v>2000000</v>
      </c>
      <c r="D208" s="14">
        <v>750000</v>
      </c>
      <c r="E208" s="14">
        <v>750000</v>
      </c>
      <c r="F208" s="14">
        <v>750000</v>
      </c>
      <c r="G208" s="14">
        <v>750000</v>
      </c>
      <c r="H208" s="59">
        <f t="shared" si="5"/>
        <v>5000000</v>
      </c>
    </row>
    <row r="209" spans="1:12" s="7" customFormat="1" ht="15.75" x14ac:dyDescent="0.25">
      <c r="A209" s="12" t="s">
        <v>899</v>
      </c>
      <c r="B209" s="2" t="s">
        <v>64</v>
      </c>
      <c r="C209" s="14">
        <f>180000+20000</f>
        <v>200000</v>
      </c>
      <c r="D209" s="14">
        <v>0</v>
      </c>
      <c r="E209" s="14">
        <v>0</v>
      </c>
      <c r="F209" s="14">
        <v>0</v>
      </c>
      <c r="G209" s="14">
        <v>0</v>
      </c>
      <c r="H209" s="59">
        <f t="shared" si="5"/>
        <v>200000</v>
      </c>
    </row>
    <row r="210" spans="1:12" s="7" customFormat="1" ht="15.75" x14ac:dyDescent="0.25">
      <c r="A210" s="12"/>
      <c r="B210" s="2" t="s">
        <v>34</v>
      </c>
      <c r="C210" s="14"/>
      <c r="D210" s="14">
        <v>0</v>
      </c>
      <c r="E210" s="14"/>
      <c r="F210" s="14">
        <v>0</v>
      </c>
      <c r="G210" s="14">
        <v>5000000</v>
      </c>
      <c r="H210" s="59">
        <f t="shared" si="5"/>
        <v>5000000</v>
      </c>
    </row>
    <row r="211" spans="1:12" s="7" customFormat="1" ht="15.75" x14ac:dyDescent="0.25">
      <c r="A211" s="12" t="s">
        <v>900</v>
      </c>
      <c r="B211" s="2" t="s">
        <v>36</v>
      </c>
      <c r="C211" s="14">
        <f>200000+50000</f>
        <v>250000</v>
      </c>
      <c r="D211" s="14">
        <v>250000</v>
      </c>
      <c r="E211" s="14">
        <v>250000</v>
      </c>
      <c r="F211" s="14">
        <v>250000</v>
      </c>
      <c r="G211" s="14">
        <v>250000</v>
      </c>
      <c r="H211" s="59">
        <f t="shared" si="5"/>
        <v>1250000</v>
      </c>
    </row>
    <row r="212" spans="1:12" s="7" customFormat="1" ht="15.75" x14ac:dyDescent="0.25">
      <c r="A212" s="12" t="s">
        <v>901</v>
      </c>
      <c r="B212" s="2" t="s">
        <v>67</v>
      </c>
      <c r="C212" s="14">
        <f>135000+15000</f>
        <v>150000</v>
      </c>
      <c r="D212" s="14">
        <v>0</v>
      </c>
      <c r="E212" s="14">
        <v>0</v>
      </c>
      <c r="F212" s="14">
        <v>0</v>
      </c>
      <c r="G212" s="14">
        <v>0</v>
      </c>
      <c r="H212" s="59">
        <f t="shared" si="5"/>
        <v>150000</v>
      </c>
    </row>
    <row r="213" spans="1:12" s="7" customFormat="1" ht="15.75" x14ac:dyDescent="0.25">
      <c r="A213" s="12" t="s">
        <v>902</v>
      </c>
      <c r="B213" s="2" t="s">
        <v>65</v>
      </c>
      <c r="C213" s="14">
        <f>180000+20000</f>
        <v>200000</v>
      </c>
      <c r="D213" s="14">
        <v>0</v>
      </c>
      <c r="E213" s="14">
        <v>0</v>
      </c>
      <c r="F213" s="14">
        <v>0</v>
      </c>
      <c r="G213" s="14">
        <v>0</v>
      </c>
      <c r="H213" s="59">
        <f t="shared" si="5"/>
        <v>200000</v>
      </c>
    </row>
    <row r="214" spans="1:12" s="7" customFormat="1" ht="15.75" x14ac:dyDescent="0.25">
      <c r="A214" s="12"/>
      <c r="B214" s="2" t="s">
        <v>68</v>
      </c>
      <c r="C214" s="14"/>
      <c r="D214" s="14">
        <v>125000</v>
      </c>
      <c r="E214" s="14">
        <v>0</v>
      </c>
      <c r="F214" s="14">
        <v>125000</v>
      </c>
      <c r="G214" s="14">
        <v>0</v>
      </c>
      <c r="H214" s="59">
        <f t="shared" si="5"/>
        <v>250000</v>
      </c>
    </row>
    <row r="215" spans="1:12" s="7" customFormat="1" ht="15.75" x14ac:dyDescent="0.25">
      <c r="A215" s="12" t="s">
        <v>763</v>
      </c>
      <c r="B215" s="2" t="s">
        <v>903</v>
      </c>
      <c r="C215" s="14"/>
      <c r="D215" s="14">
        <v>0</v>
      </c>
      <c r="E215" s="14">
        <v>0</v>
      </c>
      <c r="F215" s="14">
        <v>0</v>
      </c>
      <c r="G215" s="14">
        <v>0</v>
      </c>
      <c r="H215" s="59">
        <f t="shared" si="5"/>
        <v>0</v>
      </c>
    </row>
    <row r="216" spans="1:12" s="7" customFormat="1" ht="15.75" x14ac:dyDescent="0.25">
      <c r="A216" s="12" t="s">
        <v>764</v>
      </c>
      <c r="B216" s="2" t="s">
        <v>904</v>
      </c>
      <c r="C216" s="14"/>
      <c r="D216" s="14">
        <v>0</v>
      </c>
      <c r="E216" s="14">
        <v>0</v>
      </c>
      <c r="F216" s="14">
        <v>0</v>
      </c>
      <c r="G216" s="14">
        <v>0</v>
      </c>
      <c r="H216" s="59">
        <f t="shared" si="5"/>
        <v>0</v>
      </c>
    </row>
    <row r="217" spans="1:12" s="7" customFormat="1" ht="15.75" x14ac:dyDescent="0.25">
      <c r="A217" s="12" t="s">
        <v>199</v>
      </c>
      <c r="B217" s="2" t="s">
        <v>829</v>
      </c>
      <c r="C217" s="14">
        <f>1809219+200000</f>
        <v>2009219</v>
      </c>
      <c r="D217" s="14">
        <v>2000000</v>
      </c>
      <c r="E217" s="14">
        <v>2000000</v>
      </c>
      <c r="F217" s="14">
        <v>2000000</v>
      </c>
      <c r="G217" s="14">
        <v>2000000</v>
      </c>
      <c r="H217" s="59">
        <f t="shared" si="5"/>
        <v>10009219</v>
      </c>
    </row>
    <row r="218" spans="1:12" s="7" customFormat="1" ht="15.75" x14ac:dyDescent="0.25">
      <c r="A218" s="49"/>
      <c r="B218" s="49" t="s">
        <v>80</v>
      </c>
      <c r="C218" s="50">
        <f>SUM(C175:C217)</f>
        <v>8540729</v>
      </c>
      <c r="D218" s="50">
        <f>SUM(D175:D217)</f>
        <v>4825000</v>
      </c>
      <c r="E218" s="50">
        <f>SUM(E175:E217)</f>
        <v>4200000</v>
      </c>
      <c r="F218" s="50">
        <f>SUM(F175:F217)</f>
        <v>8325000</v>
      </c>
      <c r="G218" s="50">
        <f>SUM(G175:G217)</f>
        <v>9200000</v>
      </c>
      <c r="H218" s="50">
        <f>SUM(C218:G218)</f>
        <v>35090729</v>
      </c>
      <c r="I218" s="17"/>
      <c r="J218" s="17"/>
      <c r="K218" s="17"/>
      <c r="L218" s="17"/>
    </row>
    <row r="219" spans="1:12" s="7" customFormat="1" ht="15.75" x14ac:dyDescent="0.25">
      <c r="A219" s="2"/>
      <c r="B219" s="2"/>
      <c r="C219" s="9"/>
      <c r="D219" s="9"/>
      <c r="E219" s="9"/>
      <c r="F219" s="9"/>
      <c r="G219" s="9"/>
      <c r="H219" s="3"/>
    </row>
    <row r="220" spans="1:12" s="7" customFormat="1" ht="18" x14ac:dyDescent="0.25">
      <c r="A220" s="25"/>
      <c r="B220" s="25" t="s">
        <v>173</v>
      </c>
      <c r="C220" s="26">
        <f>C38+C82+C120+C164+C172+C218</f>
        <v>26215000</v>
      </c>
      <c r="D220" s="26">
        <f>D38+D82+D120+D164+D172+D218</f>
        <v>71875424</v>
      </c>
      <c r="E220" s="26">
        <f>E38+E82+E120+E164+E172+E218</f>
        <v>65525000</v>
      </c>
      <c r="F220" s="26">
        <f>F38+F82+F120+F164+F172+F218</f>
        <v>58735000</v>
      </c>
      <c r="G220" s="26">
        <f>G38+G82+G120+G164+G172+G218</f>
        <v>53640000</v>
      </c>
      <c r="H220" s="26">
        <f>SUM(C220:G220)</f>
        <v>275990424</v>
      </c>
      <c r="I220" s="17"/>
      <c r="J220" s="17"/>
      <c r="K220" s="17"/>
      <c r="L220" s="17"/>
    </row>
    <row r="221" spans="1:12" s="7" customFormat="1" ht="15" x14ac:dyDescent="0.2">
      <c r="A221" s="12"/>
      <c r="B221" s="2"/>
      <c r="C221" s="9"/>
      <c r="D221" s="9"/>
      <c r="E221" s="9"/>
      <c r="F221" s="9"/>
      <c r="G221" s="9"/>
      <c r="H221" s="9"/>
    </row>
    <row r="222" spans="1:12" s="7" customFormat="1" ht="15.75" x14ac:dyDescent="0.25">
      <c r="A222" s="12"/>
      <c r="B222" s="13" t="s">
        <v>275</v>
      </c>
      <c r="C222" s="9"/>
      <c r="D222" s="9"/>
      <c r="E222" s="9"/>
      <c r="F222" s="9"/>
      <c r="G222" s="9"/>
      <c r="H222" s="3"/>
    </row>
    <row r="223" spans="1:12" s="7" customFormat="1" ht="15.75" x14ac:dyDescent="0.25">
      <c r="A223" s="12" t="s">
        <v>276</v>
      </c>
      <c r="B223" s="2" t="s">
        <v>311</v>
      </c>
      <c r="C223" s="14">
        <f>1148609+15000</f>
        <v>1163609</v>
      </c>
      <c r="D223" s="14">
        <v>0</v>
      </c>
      <c r="E223" s="14">
        <v>0</v>
      </c>
      <c r="F223" s="14">
        <v>0</v>
      </c>
      <c r="G223" s="14">
        <v>0</v>
      </c>
      <c r="H223" s="59">
        <f t="shared" ref="H223:H268" si="6">SUM(C223:G223)</f>
        <v>1163609</v>
      </c>
    </row>
    <row r="224" spans="1:12" s="48" customFormat="1" ht="15.75" x14ac:dyDescent="0.25">
      <c r="A224" s="46" t="s">
        <v>569</v>
      </c>
      <c r="B224" s="47" t="s">
        <v>776</v>
      </c>
      <c r="C224" s="45">
        <v>1044000</v>
      </c>
      <c r="D224" s="45">
        <v>811327</v>
      </c>
      <c r="E224" s="45">
        <v>0</v>
      </c>
      <c r="F224" s="45">
        <v>0</v>
      </c>
      <c r="G224" s="63">
        <v>0</v>
      </c>
      <c r="H224" s="29">
        <f t="shared" si="6"/>
        <v>1855327</v>
      </c>
    </row>
    <row r="225" spans="1:8" s="7" customFormat="1" ht="15.75" x14ac:dyDescent="0.25">
      <c r="A225" s="12" t="s">
        <v>909</v>
      </c>
      <c r="B225" s="2" t="s">
        <v>910</v>
      </c>
      <c r="C225" s="14">
        <v>10000</v>
      </c>
      <c r="D225" s="14"/>
      <c r="E225" s="14"/>
      <c r="F225" s="14"/>
      <c r="G225" s="14"/>
      <c r="H225" s="59">
        <f t="shared" ref="H225" si="7">SUM(C225:G225)</f>
        <v>10000</v>
      </c>
    </row>
    <row r="226" spans="1:8" s="7" customFormat="1" ht="15.75" x14ac:dyDescent="0.25">
      <c r="A226" s="12" t="s">
        <v>277</v>
      </c>
      <c r="B226" s="2" t="s">
        <v>312</v>
      </c>
      <c r="C226" s="14"/>
      <c r="D226" s="14">
        <v>593358</v>
      </c>
      <c r="E226" s="14">
        <v>1185535</v>
      </c>
      <c r="F226" s="14">
        <v>16289</v>
      </c>
      <c r="G226" s="14">
        <v>0</v>
      </c>
      <c r="H226" s="59">
        <f t="shared" si="6"/>
        <v>1795182</v>
      </c>
    </row>
    <row r="227" spans="1:8" s="48" customFormat="1" ht="15.75" x14ac:dyDescent="0.25">
      <c r="A227" s="46" t="s">
        <v>570</v>
      </c>
      <c r="B227" s="47" t="s">
        <v>777</v>
      </c>
      <c r="C227" s="45"/>
      <c r="D227" s="45">
        <v>2615</v>
      </c>
      <c r="E227" s="45">
        <v>1313323</v>
      </c>
      <c r="F227" s="45">
        <v>39424</v>
      </c>
      <c r="G227" s="63">
        <v>0</v>
      </c>
      <c r="H227" s="29">
        <f t="shared" si="6"/>
        <v>1355362</v>
      </c>
    </row>
    <row r="228" spans="1:8" s="7" customFormat="1" ht="15.75" x14ac:dyDescent="0.25">
      <c r="A228" s="12" t="s">
        <v>278</v>
      </c>
      <c r="B228" s="2" t="s">
        <v>313</v>
      </c>
      <c r="C228" s="14">
        <v>325651</v>
      </c>
      <c r="D228" s="14">
        <v>0</v>
      </c>
      <c r="E228" s="14">
        <v>0</v>
      </c>
      <c r="F228" s="14">
        <v>0</v>
      </c>
      <c r="G228" s="14">
        <v>0</v>
      </c>
      <c r="H228" s="59">
        <f t="shared" si="6"/>
        <v>325651</v>
      </c>
    </row>
    <row r="229" spans="1:8" s="7" customFormat="1" ht="15.75" x14ac:dyDescent="0.25">
      <c r="A229" s="12" t="s">
        <v>279</v>
      </c>
      <c r="B229" s="2" t="s">
        <v>314</v>
      </c>
      <c r="C229" s="14"/>
      <c r="D229" s="14">
        <v>0</v>
      </c>
      <c r="E229" s="14">
        <v>0</v>
      </c>
      <c r="F229" s="14">
        <v>0</v>
      </c>
      <c r="G229" s="14">
        <v>0</v>
      </c>
      <c r="H229" s="29">
        <f t="shared" si="6"/>
        <v>0</v>
      </c>
    </row>
    <row r="230" spans="1:8" s="7" customFormat="1" ht="15.75" x14ac:dyDescent="0.25">
      <c r="A230" s="12" t="s">
        <v>280</v>
      </c>
      <c r="B230" s="2" t="s">
        <v>315</v>
      </c>
      <c r="C230" s="14"/>
      <c r="D230" s="14">
        <v>0</v>
      </c>
      <c r="E230" s="14">
        <v>0</v>
      </c>
      <c r="F230" s="14">
        <v>0</v>
      </c>
      <c r="G230" s="14">
        <v>0</v>
      </c>
      <c r="H230" s="29">
        <f t="shared" si="6"/>
        <v>0</v>
      </c>
    </row>
    <row r="231" spans="1:8" s="48" customFormat="1" ht="15.75" x14ac:dyDescent="0.25">
      <c r="A231" s="46" t="s">
        <v>571</v>
      </c>
      <c r="B231" s="47" t="s">
        <v>778</v>
      </c>
      <c r="C231" s="45"/>
      <c r="D231" s="45">
        <v>0</v>
      </c>
      <c r="E231" s="45">
        <v>0</v>
      </c>
      <c r="F231" s="45">
        <v>0</v>
      </c>
      <c r="G231" s="63">
        <v>0</v>
      </c>
      <c r="H231" s="45">
        <f t="shared" si="6"/>
        <v>0</v>
      </c>
    </row>
    <row r="232" spans="1:8" s="7" customFormat="1" ht="15.75" x14ac:dyDescent="0.25">
      <c r="A232" s="12" t="s">
        <v>281</v>
      </c>
      <c r="B232" s="2" t="s">
        <v>316</v>
      </c>
      <c r="C232" s="14"/>
      <c r="D232" s="14">
        <v>0</v>
      </c>
      <c r="E232" s="14">
        <v>0</v>
      </c>
      <c r="F232" s="14">
        <v>0</v>
      </c>
      <c r="G232" s="14">
        <v>0</v>
      </c>
      <c r="H232" s="29">
        <f t="shared" si="6"/>
        <v>0</v>
      </c>
    </row>
    <row r="233" spans="1:8" s="48" customFormat="1" ht="15.75" x14ac:dyDescent="0.25">
      <c r="A233" s="46" t="s">
        <v>572</v>
      </c>
      <c r="B233" s="47" t="s">
        <v>779</v>
      </c>
      <c r="C233" s="45">
        <v>811791</v>
      </c>
      <c r="D233" s="45">
        <v>0</v>
      </c>
      <c r="E233" s="45">
        <v>0</v>
      </c>
      <c r="F233" s="45">
        <v>0</v>
      </c>
      <c r="G233" s="63">
        <v>0</v>
      </c>
      <c r="H233" s="45">
        <f t="shared" si="6"/>
        <v>811791</v>
      </c>
    </row>
    <row r="234" spans="1:8" s="7" customFormat="1" ht="15.75" x14ac:dyDescent="0.25">
      <c r="A234" s="12" t="s">
        <v>282</v>
      </c>
      <c r="B234" s="2" t="s">
        <v>317</v>
      </c>
      <c r="C234" s="14"/>
      <c r="D234" s="14">
        <v>2202</v>
      </c>
      <c r="E234" s="14">
        <v>568538</v>
      </c>
      <c r="F234" s="14">
        <v>4553</v>
      </c>
      <c r="G234" s="14">
        <v>0</v>
      </c>
      <c r="H234" s="59">
        <f t="shared" si="6"/>
        <v>575293</v>
      </c>
    </row>
    <row r="235" spans="1:8" s="7" customFormat="1" ht="15.75" x14ac:dyDescent="0.25">
      <c r="A235" s="12" t="s">
        <v>283</v>
      </c>
      <c r="B235" s="2" t="s">
        <v>318</v>
      </c>
      <c r="C235" s="14"/>
      <c r="D235" s="14">
        <v>0</v>
      </c>
      <c r="E235" s="14">
        <v>477998</v>
      </c>
      <c r="F235" s="14">
        <v>1622</v>
      </c>
      <c r="G235" s="14">
        <v>0</v>
      </c>
      <c r="H235" s="59">
        <f t="shared" si="6"/>
        <v>479620</v>
      </c>
    </row>
    <row r="236" spans="1:8" s="7" customFormat="1" ht="15.75" x14ac:dyDescent="0.25">
      <c r="A236" s="12" t="s">
        <v>284</v>
      </c>
      <c r="B236" s="2" t="s">
        <v>319</v>
      </c>
      <c r="C236" s="14"/>
      <c r="D236" s="14">
        <v>883186</v>
      </c>
      <c r="E236" s="14">
        <v>2847465</v>
      </c>
      <c r="F236" s="14">
        <v>19947</v>
      </c>
      <c r="G236" s="14">
        <v>0</v>
      </c>
      <c r="H236" s="59">
        <f t="shared" si="6"/>
        <v>3750598</v>
      </c>
    </row>
    <row r="237" spans="1:8" s="7" customFormat="1" ht="15.75" x14ac:dyDescent="0.25">
      <c r="A237" s="12" t="s">
        <v>285</v>
      </c>
      <c r="B237" s="2" t="s">
        <v>320</v>
      </c>
      <c r="C237" s="14"/>
      <c r="D237" s="14">
        <v>0</v>
      </c>
      <c r="E237" s="14">
        <v>861345</v>
      </c>
      <c r="F237" s="14">
        <v>3363</v>
      </c>
      <c r="G237" s="14">
        <v>0</v>
      </c>
      <c r="H237" s="59">
        <f t="shared" si="6"/>
        <v>864708</v>
      </c>
    </row>
    <row r="238" spans="1:8" s="7" customFormat="1" ht="15.75" x14ac:dyDescent="0.25">
      <c r="A238" s="12" t="s">
        <v>286</v>
      </c>
      <c r="B238" s="2" t="s">
        <v>321</v>
      </c>
      <c r="C238" s="14"/>
      <c r="D238" s="14">
        <v>0</v>
      </c>
      <c r="E238" s="14">
        <v>0</v>
      </c>
      <c r="F238" s="14">
        <v>0</v>
      </c>
      <c r="G238" s="14">
        <v>0</v>
      </c>
      <c r="H238" s="29">
        <f t="shared" si="6"/>
        <v>0</v>
      </c>
    </row>
    <row r="239" spans="1:8" s="7" customFormat="1" ht="15.75" x14ac:dyDescent="0.25">
      <c r="A239" s="12" t="s">
        <v>287</v>
      </c>
      <c r="B239" s="2" t="s">
        <v>322</v>
      </c>
      <c r="C239" s="14"/>
      <c r="D239" s="14">
        <v>0</v>
      </c>
      <c r="E239" s="14">
        <v>0</v>
      </c>
      <c r="F239" s="14">
        <v>0</v>
      </c>
      <c r="G239" s="14">
        <v>0</v>
      </c>
      <c r="H239" s="29">
        <f t="shared" si="6"/>
        <v>0</v>
      </c>
    </row>
    <row r="240" spans="1:8" s="48" customFormat="1" ht="15.75" x14ac:dyDescent="0.25">
      <c r="A240" s="46" t="s">
        <v>573</v>
      </c>
      <c r="B240" s="47" t="s">
        <v>866</v>
      </c>
      <c r="C240" s="45">
        <v>782917</v>
      </c>
      <c r="D240" s="45">
        <v>786669</v>
      </c>
      <c r="E240" s="45">
        <v>0</v>
      </c>
      <c r="F240" s="45">
        <v>0</v>
      </c>
      <c r="G240" s="45">
        <v>0</v>
      </c>
      <c r="H240" s="29">
        <f t="shared" si="6"/>
        <v>1569586</v>
      </c>
    </row>
    <row r="241" spans="1:8" s="48" customFormat="1" ht="15.75" x14ac:dyDescent="0.25">
      <c r="A241" s="46" t="s">
        <v>574</v>
      </c>
      <c r="B241" s="47" t="s">
        <v>780</v>
      </c>
      <c r="C241" s="45">
        <v>416042</v>
      </c>
      <c r="D241" s="45">
        <v>452345</v>
      </c>
      <c r="E241" s="45">
        <v>0</v>
      </c>
      <c r="F241" s="45">
        <v>0</v>
      </c>
      <c r="G241" s="45">
        <v>0</v>
      </c>
      <c r="H241" s="29">
        <f t="shared" si="6"/>
        <v>868387</v>
      </c>
    </row>
    <row r="242" spans="1:8" s="48" customFormat="1" ht="15.75" x14ac:dyDescent="0.25">
      <c r="A242" s="46" t="s">
        <v>575</v>
      </c>
      <c r="B242" s="47" t="s">
        <v>781</v>
      </c>
      <c r="C242" s="45">
        <v>40287</v>
      </c>
      <c r="D242" s="45">
        <v>1386745</v>
      </c>
      <c r="E242" s="45">
        <v>0</v>
      </c>
      <c r="F242" s="45">
        <v>0</v>
      </c>
      <c r="G242" s="45">
        <v>0</v>
      </c>
      <c r="H242" s="29">
        <f t="shared" si="6"/>
        <v>1427032</v>
      </c>
    </row>
    <row r="243" spans="1:8" s="7" customFormat="1" ht="15.75" x14ac:dyDescent="0.25">
      <c r="A243" s="12" t="s">
        <v>288</v>
      </c>
      <c r="B243" s="2" t="s">
        <v>323</v>
      </c>
      <c r="C243" s="14">
        <v>571653</v>
      </c>
      <c r="D243" s="14">
        <v>403367</v>
      </c>
      <c r="E243" s="14">
        <v>0</v>
      </c>
      <c r="F243" s="14">
        <v>0</v>
      </c>
      <c r="G243" s="14">
        <v>0</v>
      </c>
      <c r="H243" s="59">
        <f t="shared" si="6"/>
        <v>975020</v>
      </c>
    </row>
    <row r="244" spans="1:8" s="7" customFormat="1" ht="15.75" x14ac:dyDescent="0.25">
      <c r="A244" s="12" t="s">
        <v>289</v>
      </c>
      <c r="B244" s="2" t="s">
        <v>324</v>
      </c>
      <c r="C244" s="14"/>
      <c r="D244" s="14">
        <v>820800</v>
      </c>
      <c r="E244" s="14">
        <v>9914035</v>
      </c>
      <c r="F244" s="14">
        <v>4295</v>
      </c>
      <c r="G244" s="14">
        <v>0</v>
      </c>
      <c r="H244" s="59">
        <f t="shared" si="6"/>
        <v>10739130</v>
      </c>
    </row>
    <row r="245" spans="1:8" s="7" customFormat="1" ht="15.75" x14ac:dyDescent="0.25">
      <c r="A245" s="12" t="s">
        <v>290</v>
      </c>
      <c r="B245" s="2" t="s">
        <v>325</v>
      </c>
      <c r="C245" s="14"/>
      <c r="D245" s="14">
        <v>2642</v>
      </c>
      <c r="E245" s="14">
        <v>1004617</v>
      </c>
      <c r="F245" s="14">
        <v>1983</v>
      </c>
      <c r="G245" s="14">
        <v>0</v>
      </c>
      <c r="H245" s="59">
        <f t="shared" si="6"/>
        <v>1009242</v>
      </c>
    </row>
    <row r="246" spans="1:8" s="48" customFormat="1" ht="15.75" x14ac:dyDescent="0.25">
      <c r="A246" s="46" t="s">
        <v>576</v>
      </c>
      <c r="B246" s="47" t="s">
        <v>782</v>
      </c>
      <c r="C246" s="45">
        <v>966000</v>
      </c>
      <c r="D246" s="45">
        <v>0</v>
      </c>
      <c r="E246" s="45">
        <v>0</v>
      </c>
      <c r="F246" s="45">
        <v>0</v>
      </c>
      <c r="G246" s="45">
        <v>0</v>
      </c>
      <c r="H246" s="29">
        <f t="shared" si="6"/>
        <v>966000</v>
      </c>
    </row>
    <row r="247" spans="1:8" s="7" customFormat="1" ht="15.75" x14ac:dyDescent="0.25">
      <c r="A247" s="12" t="s">
        <v>291</v>
      </c>
      <c r="B247" s="2" t="s">
        <v>326</v>
      </c>
      <c r="C247" s="14"/>
      <c r="D247" s="14">
        <v>0</v>
      </c>
      <c r="E247" s="14">
        <v>221007</v>
      </c>
      <c r="F247" s="14">
        <v>756</v>
      </c>
      <c r="G247" s="14">
        <v>0</v>
      </c>
      <c r="H247" s="59">
        <f t="shared" si="6"/>
        <v>221763</v>
      </c>
    </row>
    <row r="248" spans="1:8" s="7" customFormat="1" ht="15.75" x14ac:dyDescent="0.25">
      <c r="A248" s="12" t="s">
        <v>292</v>
      </c>
      <c r="B248" s="2" t="s">
        <v>327</v>
      </c>
      <c r="C248" s="14"/>
      <c r="D248" s="14">
        <v>208654</v>
      </c>
      <c r="E248" s="14">
        <v>0</v>
      </c>
      <c r="F248" s="14">
        <v>0</v>
      </c>
      <c r="G248" s="14">
        <v>0</v>
      </c>
      <c r="H248" s="59">
        <f t="shared" si="6"/>
        <v>208654</v>
      </c>
    </row>
    <row r="249" spans="1:8" s="7" customFormat="1" ht="15.75" x14ac:dyDescent="0.25">
      <c r="A249" s="12" t="s">
        <v>293</v>
      </c>
      <c r="B249" s="2" t="s">
        <v>328</v>
      </c>
      <c r="C249" s="14"/>
      <c r="D249" s="14">
        <v>0</v>
      </c>
      <c r="E249" s="14">
        <v>0</v>
      </c>
      <c r="F249" s="14">
        <v>0</v>
      </c>
      <c r="G249" s="14">
        <v>0</v>
      </c>
      <c r="H249" s="29">
        <f t="shared" si="6"/>
        <v>0</v>
      </c>
    </row>
    <row r="250" spans="1:8" s="7" customFormat="1" ht="15.75" x14ac:dyDescent="0.25">
      <c r="A250" s="12" t="s">
        <v>294</v>
      </c>
      <c r="B250" s="2" t="s">
        <v>329</v>
      </c>
      <c r="C250" s="14"/>
      <c r="D250" s="14">
        <v>0</v>
      </c>
      <c r="E250" s="14">
        <v>0</v>
      </c>
      <c r="F250" s="14">
        <v>0</v>
      </c>
      <c r="G250" s="14">
        <v>0</v>
      </c>
      <c r="H250" s="29">
        <f t="shared" si="6"/>
        <v>0</v>
      </c>
    </row>
    <row r="251" spans="1:8" s="48" customFormat="1" ht="15.75" x14ac:dyDescent="0.25">
      <c r="A251" s="46" t="s">
        <v>295</v>
      </c>
      <c r="B251" s="47" t="s">
        <v>783</v>
      </c>
      <c r="C251" s="45"/>
      <c r="D251" s="45">
        <v>141561</v>
      </c>
      <c r="E251" s="45">
        <v>0</v>
      </c>
      <c r="F251" s="45">
        <v>0</v>
      </c>
      <c r="G251" s="45">
        <v>0</v>
      </c>
      <c r="H251" s="29">
        <f t="shared" si="6"/>
        <v>141561</v>
      </c>
    </row>
    <row r="252" spans="1:8" s="7" customFormat="1" ht="15.75" x14ac:dyDescent="0.25">
      <c r="A252" s="12" t="s">
        <v>296</v>
      </c>
      <c r="B252" s="2" t="s">
        <v>330</v>
      </c>
      <c r="C252" s="14"/>
      <c r="D252" s="14">
        <v>0</v>
      </c>
      <c r="E252" s="14">
        <v>111786</v>
      </c>
      <c r="F252" s="14">
        <v>0</v>
      </c>
      <c r="G252" s="14">
        <v>0</v>
      </c>
      <c r="H252" s="59">
        <f t="shared" si="6"/>
        <v>111786</v>
      </c>
    </row>
    <row r="253" spans="1:8" s="7" customFormat="1" ht="15.75" x14ac:dyDescent="0.25">
      <c r="A253" s="12" t="s">
        <v>297</v>
      </c>
      <c r="B253" s="2" t="s">
        <v>331</v>
      </c>
      <c r="C253" s="14"/>
      <c r="D253" s="14">
        <v>109881</v>
      </c>
      <c r="E253" s="14">
        <v>0</v>
      </c>
      <c r="F253" s="14">
        <v>0</v>
      </c>
      <c r="G253" s="14">
        <v>0</v>
      </c>
      <c r="H253" s="59">
        <f t="shared" si="6"/>
        <v>109881</v>
      </c>
    </row>
    <row r="254" spans="1:8" s="48" customFormat="1" ht="15.75" x14ac:dyDescent="0.25">
      <c r="A254" s="46" t="s">
        <v>577</v>
      </c>
      <c r="B254" s="47" t="s">
        <v>784</v>
      </c>
      <c r="C254" s="45"/>
      <c r="D254" s="45">
        <v>93135</v>
      </c>
      <c r="E254" s="45">
        <v>0</v>
      </c>
      <c r="F254" s="45">
        <v>0</v>
      </c>
      <c r="G254" s="45">
        <v>0</v>
      </c>
      <c r="H254" s="29">
        <f t="shared" si="6"/>
        <v>93135</v>
      </c>
    </row>
    <row r="255" spans="1:8" s="7" customFormat="1" ht="15.75" x14ac:dyDescent="0.25">
      <c r="A255" s="12" t="s">
        <v>298</v>
      </c>
      <c r="B255" s="2" t="s">
        <v>332</v>
      </c>
      <c r="C255" s="14"/>
      <c r="D255" s="14">
        <v>0</v>
      </c>
      <c r="E255" s="14">
        <v>0</v>
      </c>
      <c r="F255" s="14">
        <v>0</v>
      </c>
      <c r="G255" s="14">
        <v>0</v>
      </c>
      <c r="H255" s="29">
        <f t="shared" si="6"/>
        <v>0</v>
      </c>
    </row>
    <row r="256" spans="1:8" s="7" customFormat="1" ht="15.75" x14ac:dyDescent="0.25">
      <c r="A256" s="12" t="s">
        <v>299</v>
      </c>
      <c r="B256" s="2" t="s">
        <v>333</v>
      </c>
      <c r="C256" s="14"/>
      <c r="D256" s="14">
        <v>0</v>
      </c>
      <c r="E256" s="14">
        <v>0</v>
      </c>
      <c r="F256" s="14">
        <v>0</v>
      </c>
      <c r="G256" s="14">
        <v>0</v>
      </c>
      <c r="H256" s="29">
        <f t="shared" si="6"/>
        <v>0</v>
      </c>
    </row>
    <row r="257" spans="1:8" s="48" customFormat="1" ht="15.75" x14ac:dyDescent="0.25">
      <c r="A257" s="46" t="s">
        <v>578</v>
      </c>
      <c r="B257" s="47" t="s">
        <v>785</v>
      </c>
      <c r="C257" s="45">
        <v>99148</v>
      </c>
      <c r="D257" s="45">
        <v>0</v>
      </c>
      <c r="E257" s="45">
        <v>0</v>
      </c>
      <c r="F257" s="45">
        <v>0</v>
      </c>
      <c r="G257" s="45">
        <v>0</v>
      </c>
      <c r="H257" s="29">
        <f t="shared" si="6"/>
        <v>99148</v>
      </c>
    </row>
    <row r="258" spans="1:8" s="48" customFormat="1" ht="15.75" x14ac:dyDescent="0.25">
      <c r="A258" s="46" t="s">
        <v>579</v>
      </c>
      <c r="B258" s="47" t="s">
        <v>786</v>
      </c>
      <c r="C258" s="45">
        <v>51815</v>
      </c>
      <c r="D258" s="45">
        <v>0</v>
      </c>
      <c r="E258" s="45">
        <v>0</v>
      </c>
      <c r="F258" s="45">
        <v>0</v>
      </c>
      <c r="G258" s="45">
        <v>0</v>
      </c>
      <c r="H258" s="29">
        <f t="shared" si="6"/>
        <v>51815</v>
      </c>
    </row>
    <row r="259" spans="1:8" s="48" customFormat="1" ht="15.75" x14ac:dyDescent="0.25">
      <c r="A259" s="46" t="s">
        <v>580</v>
      </c>
      <c r="B259" s="47" t="s">
        <v>787</v>
      </c>
      <c r="C259" s="45"/>
      <c r="D259" s="45">
        <v>0</v>
      </c>
      <c r="E259" s="45">
        <v>0</v>
      </c>
      <c r="F259" s="45">
        <v>0</v>
      </c>
      <c r="G259" s="45">
        <v>0</v>
      </c>
      <c r="H259" s="29">
        <f t="shared" si="6"/>
        <v>0</v>
      </c>
    </row>
    <row r="260" spans="1:8" s="7" customFormat="1" ht="15.75" x14ac:dyDescent="0.25">
      <c r="A260" s="12" t="s">
        <v>300</v>
      </c>
      <c r="B260" s="2" t="s">
        <v>334</v>
      </c>
      <c r="C260" s="14"/>
      <c r="D260" s="14">
        <v>0</v>
      </c>
      <c r="E260" s="14">
        <v>0</v>
      </c>
      <c r="F260" s="14">
        <v>0</v>
      </c>
      <c r="G260" s="14">
        <v>0</v>
      </c>
      <c r="H260" s="29">
        <f t="shared" si="6"/>
        <v>0</v>
      </c>
    </row>
    <row r="261" spans="1:8" s="48" customFormat="1" ht="15.75" x14ac:dyDescent="0.25">
      <c r="A261" s="46" t="s">
        <v>581</v>
      </c>
      <c r="B261" s="47" t="s">
        <v>788</v>
      </c>
      <c r="C261" s="45"/>
      <c r="D261" s="45">
        <v>0</v>
      </c>
      <c r="E261" s="45">
        <v>87257</v>
      </c>
      <c r="F261" s="45">
        <v>0</v>
      </c>
      <c r="G261" s="45">
        <v>0</v>
      </c>
      <c r="H261" s="29">
        <f t="shared" si="6"/>
        <v>87257</v>
      </c>
    </row>
    <row r="262" spans="1:8" s="48" customFormat="1" ht="15.75" x14ac:dyDescent="0.25">
      <c r="A262" s="46" t="s">
        <v>582</v>
      </c>
      <c r="B262" s="47" t="s">
        <v>789</v>
      </c>
      <c r="C262" s="45"/>
      <c r="D262" s="45">
        <v>0</v>
      </c>
      <c r="E262" s="45">
        <v>75512</v>
      </c>
      <c r="F262" s="45">
        <v>0</v>
      </c>
      <c r="G262" s="45">
        <v>0</v>
      </c>
      <c r="H262" s="29">
        <f t="shared" si="6"/>
        <v>75512</v>
      </c>
    </row>
    <row r="263" spans="1:8" s="48" customFormat="1" ht="15.75" x14ac:dyDescent="0.25">
      <c r="A263" s="46" t="s">
        <v>583</v>
      </c>
      <c r="B263" s="47" t="s">
        <v>790</v>
      </c>
      <c r="C263" s="45"/>
      <c r="D263" s="45">
        <v>0</v>
      </c>
      <c r="E263" s="45">
        <v>0</v>
      </c>
      <c r="F263" s="45">
        <v>0</v>
      </c>
      <c r="G263" s="45">
        <v>0</v>
      </c>
      <c r="H263" s="29">
        <f t="shared" si="6"/>
        <v>0</v>
      </c>
    </row>
    <row r="264" spans="1:8" s="7" customFormat="1" ht="15.75" x14ac:dyDescent="0.25">
      <c r="A264" s="12" t="s">
        <v>301</v>
      </c>
      <c r="B264" s="2" t="s">
        <v>335</v>
      </c>
      <c r="C264" s="14"/>
      <c r="D264" s="14">
        <v>0</v>
      </c>
      <c r="E264" s="14">
        <v>895815</v>
      </c>
      <c r="F264" s="14">
        <v>0</v>
      </c>
      <c r="G264" s="14">
        <v>0</v>
      </c>
      <c r="H264" s="59">
        <f t="shared" si="6"/>
        <v>895815</v>
      </c>
    </row>
    <row r="265" spans="1:8" s="7" customFormat="1" ht="15.75" x14ac:dyDescent="0.25">
      <c r="A265" s="12" t="s">
        <v>302</v>
      </c>
      <c r="B265" s="2" t="s">
        <v>336</v>
      </c>
      <c r="C265" s="14"/>
      <c r="D265" s="14">
        <v>840415</v>
      </c>
      <c r="E265" s="14">
        <v>0</v>
      </c>
      <c r="F265" s="14">
        <v>0</v>
      </c>
      <c r="G265" s="14">
        <v>0</v>
      </c>
      <c r="H265" s="59">
        <f t="shared" si="6"/>
        <v>840415</v>
      </c>
    </row>
    <row r="266" spans="1:8" s="7" customFormat="1" ht="15.75" x14ac:dyDescent="0.25">
      <c r="A266" s="12" t="s">
        <v>303</v>
      </c>
      <c r="B266" s="2" t="s">
        <v>337</v>
      </c>
      <c r="C266" s="14">
        <f>804760+30240</f>
        <v>835000</v>
      </c>
      <c r="D266" s="14">
        <v>0</v>
      </c>
      <c r="E266" s="14">
        <v>0</v>
      </c>
      <c r="F266" s="14">
        <v>0</v>
      </c>
      <c r="G266" s="14">
        <v>0</v>
      </c>
      <c r="H266" s="59">
        <f t="shared" si="6"/>
        <v>835000</v>
      </c>
    </row>
    <row r="267" spans="1:8" s="7" customFormat="1" ht="15.75" x14ac:dyDescent="0.25">
      <c r="A267" s="12" t="s">
        <v>304</v>
      </c>
      <c r="B267" s="2" t="s">
        <v>338</v>
      </c>
      <c r="C267" s="14">
        <f>218315+21084</f>
        <v>239399</v>
      </c>
      <c r="D267" s="14">
        <v>0</v>
      </c>
      <c r="E267" s="14">
        <v>0</v>
      </c>
      <c r="F267" s="14">
        <v>0</v>
      </c>
      <c r="G267" s="14">
        <v>0</v>
      </c>
      <c r="H267" s="59">
        <f t="shared" si="6"/>
        <v>239399</v>
      </c>
    </row>
    <row r="268" spans="1:8" s="7" customFormat="1" ht="15.75" x14ac:dyDescent="0.25">
      <c r="A268" s="12" t="s">
        <v>305</v>
      </c>
      <c r="B268" s="2" t="s">
        <v>339</v>
      </c>
      <c r="C268" s="14"/>
      <c r="D268" s="14">
        <v>0</v>
      </c>
      <c r="E268" s="14">
        <v>895816</v>
      </c>
      <c r="F268" s="14">
        <v>0</v>
      </c>
      <c r="G268" s="14">
        <v>0</v>
      </c>
      <c r="H268" s="59">
        <f t="shared" si="6"/>
        <v>895816</v>
      </c>
    </row>
    <row r="269" spans="1:8" s="7" customFormat="1" ht="15.75" x14ac:dyDescent="0.25">
      <c r="A269" s="12" t="s">
        <v>306</v>
      </c>
      <c r="B269" s="2" t="s">
        <v>340</v>
      </c>
      <c r="C269" s="14"/>
      <c r="D269" s="14">
        <v>860616</v>
      </c>
      <c r="E269" s="14">
        <v>0</v>
      </c>
      <c r="F269" s="14">
        <v>0</v>
      </c>
      <c r="G269" s="14">
        <v>0</v>
      </c>
      <c r="H269" s="59">
        <f t="shared" ref="H269:H275" si="8">SUM(C269:G269)</f>
        <v>860616</v>
      </c>
    </row>
    <row r="270" spans="1:8" s="7" customFormat="1" ht="15.75" x14ac:dyDescent="0.25">
      <c r="A270" s="12" t="s">
        <v>307</v>
      </c>
      <c r="B270" s="2" t="s">
        <v>341</v>
      </c>
      <c r="C270" s="14">
        <f>302057+20293</f>
        <v>322350</v>
      </c>
      <c r="D270" s="14">
        <v>0</v>
      </c>
      <c r="E270" s="14">
        <v>0</v>
      </c>
      <c r="F270" s="14">
        <v>0</v>
      </c>
      <c r="G270" s="14">
        <v>0</v>
      </c>
      <c r="H270" s="59">
        <f t="shared" si="8"/>
        <v>322350</v>
      </c>
    </row>
    <row r="271" spans="1:8" s="7" customFormat="1" ht="15.75" x14ac:dyDescent="0.25">
      <c r="A271" s="12" t="s">
        <v>308</v>
      </c>
      <c r="B271" s="2" t="s">
        <v>342</v>
      </c>
      <c r="C271" s="14">
        <f>810177+30240</f>
        <v>840417</v>
      </c>
      <c r="D271" s="14">
        <v>0</v>
      </c>
      <c r="E271" s="14">
        <v>0</v>
      </c>
      <c r="F271" s="14">
        <v>0</v>
      </c>
      <c r="G271" s="14">
        <v>0</v>
      </c>
      <c r="H271" s="59">
        <f t="shared" si="8"/>
        <v>840417</v>
      </c>
    </row>
    <row r="272" spans="1:8" s="7" customFormat="1" ht="15.75" x14ac:dyDescent="0.25">
      <c r="A272" s="12" t="s">
        <v>309</v>
      </c>
      <c r="B272" s="2" t="s">
        <v>343</v>
      </c>
      <c r="C272" s="14">
        <v>68921</v>
      </c>
      <c r="D272" s="14">
        <v>319451</v>
      </c>
      <c r="E272" s="14">
        <v>0</v>
      </c>
      <c r="F272" s="14">
        <v>0</v>
      </c>
      <c r="G272" s="14">
        <v>0</v>
      </c>
      <c r="H272" s="59">
        <f t="shared" si="8"/>
        <v>388372</v>
      </c>
    </row>
    <row r="273" spans="1:12" s="7" customFormat="1" ht="15.75" x14ac:dyDescent="0.25">
      <c r="A273" s="12" t="s">
        <v>310</v>
      </c>
      <c r="B273" s="2" t="s">
        <v>344</v>
      </c>
      <c r="C273" s="14"/>
      <c r="D273" s="14">
        <v>0</v>
      </c>
      <c r="E273" s="14">
        <v>409382</v>
      </c>
      <c r="F273" s="14">
        <v>2398</v>
      </c>
      <c r="G273" s="14">
        <v>0</v>
      </c>
      <c r="H273" s="59">
        <f t="shared" si="8"/>
        <v>411780</v>
      </c>
    </row>
    <row r="274" spans="1:12" s="7" customFormat="1" ht="15.75" x14ac:dyDescent="0.25">
      <c r="A274" s="12"/>
      <c r="B274" s="2" t="s">
        <v>947</v>
      </c>
      <c r="C274" s="14"/>
      <c r="D274" s="14">
        <v>372389</v>
      </c>
      <c r="E274" s="14"/>
      <c r="F274" s="14"/>
      <c r="G274" s="14"/>
      <c r="H274" s="59">
        <f t="shared" si="8"/>
        <v>372389</v>
      </c>
    </row>
    <row r="275" spans="1:12" s="7" customFormat="1" ht="15.75" x14ac:dyDescent="0.25">
      <c r="A275" s="49"/>
      <c r="B275" s="49" t="s">
        <v>264</v>
      </c>
      <c r="C275" s="50">
        <f t="shared" ref="C275:G275" si="9">SUM(C223:C274)</f>
        <v>8589000</v>
      </c>
      <c r="D275" s="50">
        <f t="shared" si="9"/>
        <v>9091358</v>
      </c>
      <c r="E275" s="50">
        <f t="shared" si="9"/>
        <v>20869431</v>
      </c>
      <c r="F275" s="50">
        <f t="shared" si="9"/>
        <v>94630</v>
      </c>
      <c r="G275" s="50">
        <f t="shared" si="9"/>
        <v>0</v>
      </c>
      <c r="H275" s="50">
        <f t="shared" si="8"/>
        <v>38644419</v>
      </c>
      <c r="I275" s="17"/>
      <c r="J275" s="17"/>
      <c r="K275" s="17"/>
      <c r="L275" s="17"/>
    </row>
    <row r="276" spans="1:12" s="7" customFormat="1" ht="15.75" x14ac:dyDescent="0.25">
      <c r="A276" s="12"/>
      <c r="B276" s="2"/>
      <c r="C276" s="14"/>
      <c r="D276" s="14"/>
      <c r="E276" s="14"/>
      <c r="F276" s="14"/>
      <c r="G276" s="14"/>
      <c r="H276" s="18"/>
    </row>
    <row r="277" spans="1:12" s="7" customFormat="1" ht="15.75" x14ac:dyDescent="0.25">
      <c r="A277" s="46" t="s">
        <v>268</v>
      </c>
      <c r="B277" s="47" t="s">
        <v>791</v>
      </c>
      <c r="C277" s="45">
        <v>5001000</v>
      </c>
      <c r="D277" s="45">
        <v>12876092</v>
      </c>
      <c r="E277" s="45">
        <v>21262000</v>
      </c>
      <c r="F277" s="45">
        <v>7086668</v>
      </c>
      <c r="G277" s="45">
        <v>0</v>
      </c>
      <c r="H277" s="29">
        <f t="shared" ref="H277:H284" si="10">SUM(C277:G277)</f>
        <v>46225760</v>
      </c>
    </row>
    <row r="278" spans="1:12" s="7" customFormat="1" ht="15.75" x14ac:dyDescent="0.25">
      <c r="A278" s="12" t="s">
        <v>269</v>
      </c>
      <c r="B278" s="2" t="s">
        <v>584</v>
      </c>
      <c r="C278" s="14"/>
      <c r="D278" s="14">
        <v>0</v>
      </c>
      <c r="E278" s="14">
        <v>150000</v>
      </c>
      <c r="F278" s="14">
        <v>453400</v>
      </c>
      <c r="G278" s="14">
        <v>0</v>
      </c>
      <c r="H278" s="59">
        <f t="shared" si="10"/>
        <v>603400</v>
      </c>
    </row>
    <row r="279" spans="1:12" s="7" customFormat="1" ht="15.75" x14ac:dyDescent="0.25">
      <c r="A279" s="12" t="s">
        <v>270</v>
      </c>
      <c r="B279" s="2" t="s">
        <v>267</v>
      </c>
      <c r="C279" s="14"/>
      <c r="D279" s="14">
        <v>0</v>
      </c>
      <c r="E279" s="14">
        <v>0</v>
      </c>
      <c r="F279" s="14">
        <v>3500800</v>
      </c>
      <c r="G279" s="14">
        <v>0</v>
      </c>
      <c r="H279" s="59">
        <f t="shared" si="10"/>
        <v>3500800</v>
      </c>
    </row>
    <row r="280" spans="1:12" s="7" customFormat="1" ht="15.75" x14ac:dyDescent="0.25">
      <c r="A280" s="46" t="s">
        <v>271</v>
      </c>
      <c r="B280" s="47" t="s">
        <v>792</v>
      </c>
      <c r="C280" s="45"/>
      <c r="D280" s="45">
        <v>0</v>
      </c>
      <c r="E280" s="45">
        <v>2756700</v>
      </c>
      <c r="F280" s="45">
        <v>0</v>
      </c>
      <c r="G280" s="45">
        <v>0</v>
      </c>
      <c r="H280" s="29">
        <f t="shared" si="10"/>
        <v>2756700</v>
      </c>
    </row>
    <row r="281" spans="1:12" s="7" customFormat="1" ht="15.75" x14ac:dyDescent="0.25">
      <c r="A281" s="46" t="s">
        <v>272</v>
      </c>
      <c r="B281" s="47" t="s">
        <v>793</v>
      </c>
      <c r="C281" s="45"/>
      <c r="D281" s="45">
        <v>0</v>
      </c>
      <c r="E281" s="45">
        <v>281700</v>
      </c>
      <c r="F281" s="45">
        <v>0</v>
      </c>
      <c r="G281" s="45">
        <v>0</v>
      </c>
      <c r="H281" s="29">
        <f t="shared" si="10"/>
        <v>281700</v>
      </c>
    </row>
    <row r="282" spans="1:12" s="7" customFormat="1" ht="15.75" x14ac:dyDescent="0.25">
      <c r="A282" s="46" t="s">
        <v>273</v>
      </c>
      <c r="B282" s="47" t="s">
        <v>794</v>
      </c>
      <c r="C282" s="45"/>
      <c r="D282" s="45">
        <v>0</v>
      </c>
      <c r="E282" s="45">
        <v>1000000</v>
      </c>
      <c r="F282" s="45">
        <v>0</v>
      </c>
      <c r="G282" s="45">
        <v>0</v>
      </c>
      <c r="H282" s="29">
        <f t="shared" si="10"/>
        <v>1000000</v>
      </c>
    </row>
    <row r="283" spans="1:12" s="7" customFormat="1" ht="15.75" x14ac:dyDescent="0.25">
      <c r="A283" s="46" t="s">
        <v>274</v>
      </c>
      <c r="B283" s="47" t="s">
        <v>795</v>
      </c>
      <c r="C283" s="45"/>
      <c r="D283" s="45">
        <v>0</v>
      </c>
      <c r="E283" s="45">
        <v>1213000</v>
      </c>
      <c r="F283" s="45">
        <v>87000</v>
      </c>
      <c r="G283" s="45">
        <v>0</v>
      </c>
      <c r="H283" s="29">
        <f t="shared" si="10"/>
        <v>1300000</v>
      </c>
    </row>
    <row r="284" spans="1:12" s="7" customFormat="1" ht="15.75" x14ac:dyDescent="0.25">
      <c r="A284" s="49"/>
      <c r="B284" s="49" t="s">
        <v>265</v>
      </c>
      <c r="C284" s="50">
        <f t="shared" ref="C284:G284" si="11">SUM(C277:C283)</f>
        <v>5001000</v>
      </c>
      <c r="D284" s="50">
        <f t="shared" si="11"/>
        <v>12876092</v>
      </c>
      <c r="E284" s="50">
        <f t="shared" si="11"/>
        <v>26663400</v>
      </c>
      <c r="F284" s="50">
        <f t="shared" si="11"/>
        <v>11127868</v>
      </c>
      <c r="G284" s="50">
        <f t="shared" si="11"/>
        <v>0</v>
      </c>
      <c r="H284" s="50">
        <f t="shared" si="10"/>
        <v>55668360</v>
      </c>
      <c r="I284" s="17"/>
      <c r="J284" s="17"/>
      <c r="K284" s="17"/>
      <c r="L284" s="17"/>
    </row>
    <row r="285" spans="1:12" s="7" customFormat="1" ht="15" x14ac:dyDescent="0.2">
      <c r="A285" s="12"/>
      <c r="B285" s="2"/>
      <c r="C285" s="9"/>
      <c r="D285" s="9"/>
      <c r="E285" s="9"/>
      <c r="F285" s="9"/>
      <c r="G285" s="9"/>
      <c r="H285" s="9"/>
    </row>
    <row r="286" spans="1:12" s="7" customFormat="1" ht="18" x14ac:dyDescent="0.25">
      <c r="A286" s="25"/>
      <c r="B286" s="38" t="s">
        <v>266</v>
      </c>
      <c r="C286" s="26">
        <f>C275+C284</f>
        <v>13590000</v>
      </c>
      <c r="D286" s="26">
        <f t="shared" ref="D286:G286" si="12">D275+D284</f>
        <v>21967450</v>
      </c>
      <c r="E286" s="26">
        <f t="shared" si="12"/>
        <v>47532831</v>
      </c>
      <c r="F286" s="26">
        <f t="shared" si="12"/>
        <v>11222498</v>
      </c>
      <c r="G286" s="26">
        <f t="shared" si="12"/>
        <v>0</v>
      </c>
      <c r="H286" s="26">
        <f>SUM(C286:G286)</f>
        <v>94312779</v>
      </c>
      <c r="I286" s="17"/>
      <c r="J286" s="17"/>
      <c r="K286" s="17"/>
      <c r="L286" s="17"/>
    </row>
    <row r="287" spans="1:12" s="7" customFormat="1" ht="15" x14ac:dyDescent="0.2">
      <c r="A287" s="12"/>
      <c r="B287" s="2"/>
      <c r="C287" s="9"/>
      <c r="D287" s="9"/>
      <c r="E287" s="9"/>
      <c r="F287" s="9"/>
      <c r="G287" s="9"/>
      <c r="H287" s="9"/>
    </row>
    <row r="288" spans="1:12" s="7" customFormat="1" ht="15.75" x14ac:dyDescent="0.25">
      <c r="A288" s="12"/>
      <c r="B288" s="13" t="s">
        <v>191</v>
      </c>
      <c r="C288" s="9"/>
      <c r="D288" s="9"/>
      <c r="E288" s="9"/>
      <c r="F288" s="9"/>
      <c r="G288" s="9"/>
      <c r="H288" s="18"/>
    </row>
    <row r="289" spans="1:12" s="48" customFormat="1" ht="15.75" x14ac:dyDescent="0.25">
      <c r="A289" s="12" t="s">
        <v>260</v>
      </c>
      <c r="B289" s="2" t="s">
        <v>261</v>
      </c>
      <c r="C289" s="14"/>
      <c r="D289" s="14">
        <v>0</v>
      </c>
      <c r="E289" s="14">
        <v>0</v>
      </c>
      <c r="F289" s="14">
        <v>0</v>
      </c>
      <c r="G289" s="14">
        <v>0</v>
      </c>
      <c r="H289" s="29">
        <f>SUM(C289:G289)</f>
        <v>0</v>
      </c>
      <c r="I289" s="7"/>
      <c r="J289" s="7"/>
      <c r="K289" s="7"/>
      <c r="L289" s="7"/>
    </row>
    <row r="290" spans="1:12" s="48" customFormat="1" ht="15.75" x14ac:dyDescent="0.25">
      <c r="A290" s="12" t="s">
        <v>226</v>
      </c>
      <c r="B290" s="2" t="s">
        <v>70</v>
      </c>
      <c r="C290" s="14">
        <f>1205000+200000</f>
        <v>1405000</v>
      </c>
      <c r="D290" s="14">
        <v>0</v>
      </c>
      <c r="E290" s="14">
        <v>0</v>
      </c>
      <c r="F290" s="14">
        <v>0</v>
      </c>
      <c r="G290" s="14">
        <v>0</v>
      </c>
      <c r="H290" s="59">
        <f>SUM(C290:G290)</f>
        <v>1405000</v>
      </c>
      <c r="I290" s="17"/>
      <c r="J290" s="17"/>
      <c r="K290" s="17"/>
      <c r="L290" s="17"/>
    </row>
    <row r="291" spans="1:12" s="48" customFormat="1" ht="15.75" x14ac:dyDescent="0.25">
      <c r="A291" s="12" t="s">
        <v>245</v>
      </c>
      <c r="B291" s="2" t="s">
        <v>262</v>
      </c>
      <c r="C291" s="14"/>
      <c r="D291" s="14">
        <v>0</v>
      </c>
      <c r="E291" s="14">
        <v>0</v>
      </c>
      <c r="F291" s="14">
        <v>0</v>
      </c>
      <c r="G291" s="14">
        <v>0</v>
      </c>
      <c r="H291" s="29">
        <f>SUM(C291:G291)</f>
        <v>0</v>
      </c>
      <c r="I291" s="7"/>
      <c r="J291" s="7"/>
      <c r="K291" s="7"/>
      <c r="L291" s="7"/>
    </row>
    <row r="292" spans="1:12" s="48" customFormat="1" ht="15.75" x14ac:dyDescent="0.25">
      <c r="A292" s="12"/>
      <c r="B292" s="2" t="s">
        <v>936</v>
      </c>
      <c r="C292" s="14"/>
      <c r="D292" s="14">
        <v>750000</v>
      </c>
      <c r="E292" s="14"/>
      <c r="F292" s="14"/>
      <c r="G292" s="14"/>
      <c r="H292" s="29"/>
      <c r="I292" s="7"/>
      <c r="J292" s="7"/>
      <c r="K292" s="7"/>
      <c r="L292" s="7"/>
    </row>
    <row r="293" spans="1:12" s="48" customFormat="1" ht="15.75" x14ac:dyDescent="0.25">
      <c r="A293" s="46"/>
      <c r="B293" s="47" t="s">
        <v>943</v>
      </c>
      <c r="C293" s="45"/>
      <c r="D293" s="45">
        <v>250000</v>
      </c>
      <c r="E293" s="45"/>
      <c r="F293" s="45"/>
      <c r="G293" s="45"/>
      <c r="H293" s="29"/>
    </row>
    <row r="294" spans="1:12" s="48" customFormat="1" ht="15.75" x14ac:dyDescent="0.25">
      <c r="A294" s="46"/>
      <c r="B294" s="47" t="s">
        <v>937</v>
      </c>
      <c r="C294" s="45"/>
      <c r="D294" s="45"/>
      <c r="E294" s="45">
        <v>350000</v>
      </c>
      <c r="F294" s="45"/>
      <c r="G294" s="45"/>
      <c r="H294" s="29"/>
    </row>
    <row r="295" spans="1:12" s="48" customFormat="1" ht="15.75" x14ac:dyDescent="0.25">
      <c r="A295" s="46"/>
      <c r="B295" s="47" t="s">
        <v>938</v>
      </c>
      <c r="C295" s="45"/>
      <c r="D295" s="45"/>
      <c r="E295" s="45">
        <v>350000</v>
      </c>
      <c r="F295" s="45"/>
      <c r="G295" s="45"/>
      <c r="H295" s="29"/>
    </row>
    <row r="296" spans="1:12" s="48" customFormat="1" ht="15.75" x14ac:dyDescent="0.25">
      <c r="A296" s="46"/>
      <c r="B296" s="47" t="s">
        <v>939</v>
      </c>
      <c r="C296" s="45"/>
      <c r="D296" s="45"/>
      <c r="E296" s="45">
        <v>350000</v>
      </c>
      <c r="F296" s="45"/>
      <c r="G296" s="45"/>
      <c r="H296" s="29"/>
    </row>
    <row r="297" spans="1:12" s="48" customFormat="1" ht="15.75" x14ac:dyDescent="0.25">
      <c r="A297" s="46"/>
      <c r="B297" s="47" t="s">
        <v>940</v>
      </c>
      <c r="C297" s="45"/>
      <c r="D297" s="45"/>
      <c r="E297" s="45">
        <v>85000</v>
      </c>
      <c r="F297" s="45"/>
      <c r="G297" s="45"/>
      <c r="H297" s="29"/>
    </row>
    <row r="298" spans="1:12" s="48" customFormat="1" ht="15.75" x14ac:dyDescent="0.25">
      <c r="A298" s="46"/>
      <c r="B298" s="47" t="s">
        <v>941</v>
      </c>
      <c r="C298" s="45"/>
      <c r="D298" s="45"/>
      <c r="E298" s="45">
        <v>85000</v>
      </c>
      <c r="F298" s="45"/>
      <c r="G298" s="45"/>
      <c r="H298" s="29"/>
    </row>
    <row r="299" spans="1:12" s="48" customFormat="1" ht="15.75" x14ac:dyDescent="0.25">
      <c r="A299" s="46"/>
      <c r="B299" s="47" t="s">
        <v>942</v>
      </c>
      <c r="C299" s="45"/>
      <c r="D299" s="45"/>
      <c r="E299" s="45">
        <v>85000</v>
      </c>
      <c r="F299" s="45"/>
      <c r="G299" s="45"/>
      <c r="H299" s="29"/>
    </row>
    <row r="300" spans="1:12" s="48" customFormat="1" ht="15.75" x14ac:dyDescent="0.25">
      <c r="A300" s="46" t="s">
        <v>591</v>
      </c>
      <c r="B300" s="47" t="s">
        <v>945</v>
      </c>
      <c r="C300" s="45"/>
      <c r="D300" s="45">
        <v>0</v>
      </c>
      <c r="E300" s="45">
        <v>0</v>
      </c>
      <c r="F300" s="45">
        <v>0</v>
      </c>
      <c r="G300" s="45">
        <v>0</v>
      </c>
      <c r="H300" s="29">
        <f t="shared" ref="H300:H315" si="13">SUM(C300:G300)</f>
        <v>0</v>
      </c>
    </row>
    <row r="301" spans="1:12" s="7" customFormat="1" ht="15.75" x14ac:dyDescent="0.25">
      <c r="A301" s="46" t="s">
        <v>585</v>
      </c>
      <c r="B301" s="47" t="s">
        <v>944</v>
      </c>
      <c r="C301" s="45"/>
      <c r="D301" s="45">
        <v>0</v>
      </c>
      <c r="E301" s="45">
        <v>0</v>
      </c>
      <c r="F301" s="45">
        <v>0</v>
      </c>
      <c r="G301" s="45">
        <v>0</v>
      </c>
      <c r="H301" s="29">
        <f t="shared" si="13"/>
        <v>0</v>
      </c>
      <c r="I301" s="48"/>
      <c r="J301" s="48"/>
      <c r="K301" s="48"/>
      <c r="L301" s="48"/>
    </row>
    <row r="302" spans="1:12" s="7" customFormat="1" ht="15.75" x14ac:dyDescent="0.25">
      <c r="A302" s="46" t="s">
        <v>590</v>
      </c>
      <c r="B302" s="47" t="s">
        <v>946</v>
      </c>
      <c r="C302" s="45"/>
      <c r="D302" s="45">
        <v>0</v>
      </c>
      <c r="E302" s="45">
        <v>0</v>
      </c>
      <c r="F302" s="45">
        <v>0</v>
      </c>
      <c r="G302" s="45">
        <v>0</v>
      </c>
      <c r="H302" s="29">
        <f t="shared" si="13"/>
        <v>0</v>
      </c>
      <c r="I302" s="48"/>
      <c r="J302" s="48"/>
      <c r="K302" s="48"/>
      <c r="L302" s="48"/>
    </row>
    <row r="303" spans="1:12" s="7" customFormat="1" ht="15.75" x14ac:dyDescent="0.25">
      <c r="A303" s="46" t="s">
        <v>227</v>
      </c>
      <c r="B303" s="47" t="s">
        <v>796</v>
      </c>
      <c r="C303" s="45">
        <v>5473000</v>
      </c>
      <c r="D303" s="45">
        <v>0</v>
      </c>
      <c r="E303" s="45">
        <v>0</v>
      </c>
      <c r="F303" s="45">
        <v>0</v>
      </c>
      <c r="G303" s="45">
        <v>0</v>
      </c>
      <c r="H303" s="29">
        <f t="shared" si="13"/>
        <v>5473000</v>
      </c>
      <c r="I303" s="48"/>
      <c r="J303" s="48"/>
      <c r="K303" s="48"/>
      <c r="L303" s="48"/>
    </row>
    <row r="304" spans="1:12" s="7" customFormat="1" ht="15.75" x14ac:dyDescent="0.25">
      <c r="A304" s="12" t="s">
        <v>892</v>
      </c>
      <c r="B304" s="2" t="s">
        <v>893</v>
      </c>
      <c r="C304" s="14">
        <v>535000</v>
      </c>
      <c r="D304" s="14">
        <v>0</v>
      </c>
      <c r="E304" s="14">
        <v>0</v>
      </c>
      <c r="F304" s="14">
        <v>0</v>
      </c>
      <c r="G304" s="14">
        <v>0</v>
      </c>
      <c r="H304" s="59">
        <f t="shared" ref="H304" si="14">SUM(C304:G304)</f>
        <v>535000</v>
      </c>
    </row>
    <row r="305" spans="1:12" s="48" customFormat="1" ht="15.75" x14ac:dyDescent="0.25">
      <c r="A305" s="46" t="s">
        <v>891</v>
      </c>
      <c r="B305" s="47" t="s">
        <v>797</v>
      </c>
      <c r="C305" s="45">
        <v>2000000</v>
      </c>
      <c r="D305" s="45">
        <v>2000000</v>
      </c>
      <c r="E305" s="45">
        <v>2000000</v>
      </c>
      <c r="F305" s="45">
        <v>2000000</v>
      </c>
      <c r="G305" s="45">
        <v>2000000</v>
      </c>
      <c r="H305" s="29">
        <f t="shared" si="13"/>
        <v>10000000</v>
      </c>
    </row>
    <row r="306" spans="1:12" s="48" customFormat="1" ht="15.75" x14ac:dyDescent="0.25">
      <c r="A306" s="46" t="s">
        <v>586</v>
      </c>
      <c r="B306" s="47" t="s">
        <v>193</v>
      </c>
      <c r="C306" s="45"/>
      <c r="D306" s="45">
        <v>0</v>
      </c>
      <c r="E306" s="45">
        <v>0</v>
      </c>
      <c r="F306" s="45">
        <v>0</v>
      </c>
      <c r="G306" s="45">
        <v>0</v>
      </c>
      <c r="H306" s="29">
        <f t="shared" si="13"/>
        <v>0</v>
      </c>
    </row>
    <row r="307" spans="1:12" s="48" customFormat="1" ht="15.75" x14ac:dyDescent="0.25">
      <c r="A307" s="46" t="s">
        <v>589</v>
      </c>
      <c r="B307" s="47" t="s">
        <v>870</v>
      </c>
      <c r="C307" s="45"/>
      <c r="D307" s="45">
        <v>0</v>
      </c>
      <c r="E307" s="45">
        <v>0</v>
      </c>
      <c r="F307" s="45">
        <v>0</v>
      </c>
      <c r="G307" s="45">
        <v>0</v>
      </c>
      <c r="H307" s="29">
        <f t="shared" si="13"/>
        <v>0</v>
      </c>
    </row>
    <row r="308" spans="1:12" s="48" customFormat="1" ht="15.75" x14ac:dyDescent="0.25">
      <c r="A308" s="46" t="s">
        <v>239</v>
      </c>
      <c r="B308" s="47" t="s">
        <v>798</v>
      </c>
      <c r="C308" s="45"/>
      <c r="D308" s="45">
        <v>0</v>
      </c>
      <c r="E308" s="45">
        <v>0</v>
      </c>
      <c r="F308" s="45">
        <v>0</v>
      </c>
      <c r="G308" s="14">
        <v>0</v>
      </c>
      <c r="H308" s="29">
        <f t="shared" si="13"/>
        <v>0</v>
      </c>
    </row>
    <row r="309" spans="1:12" s="48" customFormat="1" ht="15.75" x14ac:dyDescent="0.25">
      <c r="A309" s="46" t="s">
        <v>772</v>
      </c>
      <c r="B309" s="47" t="s">
        <v>869</v>
      </c>
      <c r="C309" s="45"/>
      <c r="D309" s="45">
        <v>0</v>
      </c>
      <c r="E309" s="45">
        <v>0</v>
      </c>
      <c r="F309" s="45">
        <v>0</v>
      </c>
      <c r="G309" s="14">
        <v>0</v>
      </c>
      <c r="H309" s="29">
        <f t="shared" si="13"/>
        <v>0</v>
      </c>
    </row>
    <row r="310" spans="1:12" s="48" customFormat="1" ht="15.75" x14ac:dyDescent="0.25">
      <c r="A310" s="46" t="s">
        <v>587</v>
      </c>
      <c r="B310" s="47" t="s">
        <v>867</v>
      </c>
      <c r="C310" s="45"/>
      <c r="D310" s="45">
        <v>0</v>
      </c>
      <c r="E310" s="45">
        <v>0</v>
      </c>
      <c r="F310" s="45">
        <v>0</v>
      </c>
      <c r="G310" s="14">
        <v>0</v>
      </c>
      <c r="H310" s="29">
        <f t="shared" si="13"/>
        <v>0</v>
      </c>
    </row>
    <row r="311" spans="1:12" s="48" customFormat="1" ht="15.75" x14ac:dyDescent="0.25">
      <c r="A311" s="46" t="s">
        <v>588</v>
      </c>
      <c r="B311" s="47" t="s">
        <v>868</v>
      </c>
      <c r="C311" s="45">
        <v>63949</v>
      </c>
      <c r="D311" s="45">
        <v>0</v>
      </c>
      <c r="E311" s="45">
        <v>0</v>
      </c>
      <c r="F311" s="45">
        <v>0</v>
      </c>
      <c r="G311" s="14">
        <v>0</v>
      </c>
      <c r="H311" s="29">
        <f t="shared" si="13"/>
        <v>63949</v>
      </c>
    </row>
    <row r="312" spans="1:12" s="7" customFormat="1" ht="15.75" x14ac:dyDescent="0.25">
      <c r="A312" s="46" t="s">
        <v>592</v>
      </c>
      <c r="B312" s="47" t="s">
        <v>799</v>
      </c>
      <c r="C312" s="45">
        <v>1433051</v>
      </c>
      <c r="D312" s="45">
        <v>5000000</v>
      </c>
      <c r="E312" s="45"/>
      <c r="F312" s="45"/>
      <c r="G312" s="45">
        <v>0</v>
      </c>
      <c r="H312" s="29">
        <f t="shared" si="13"/>
        <v>6433051</v>
      </c>
      <c r="I312" s="48"/>
      <c r="J312" s="48"/>
      <c r="K312" s="48"/>
      <c r="L312" s="48"/>
    </row>
    <row r="313" spans="1:12" s="7" customFormat="1" ht="15.75" x14ac:dyDescent="0.25">
      <c r="A313" s="46"/>
      <c r="B313" s="47" t="s">
        <v>800</v>
      </c>
      <c r="C313" s="45"/>
      <c r="D313" s="45"/>
      <c r="E313" s="45"/>
      <c r="F313" s="45">
        <v>5000000</v>
      </c>
      <c r="G313" s="45">
        <v>0</v>
      </c>
      <c r="H313" s="29">
        <f t="shared" si="13"/>
        <v>5000000</v>
      </c>
      <c r="I313" s="48"/>
      <c r="J313" s="48"/>
      <c r="K313" s="48"/>
      <c r="L313" s="48"/>
    </row>
    <row r="314" spans="1:12" s="7" customFormat="1" ht="15.75" x14ac:dyDescent="0.25">
      <c r="A314" s="12"/>
      <c r="B314" s="47" t="s">
        <v>801</v>
      </c>
      <c r="C314" s="29"/>
      <c r="D314" s="29">
        <v>0</v>
      </c>
      <c r="E314" s="29">
        <v>3000000</v>
      </c>
      <c r="F314" s="14">
        <v>0</v>
      </c>
      <c r="G314" s="45">
        <v>0</v>
      </c>
      <c r="H314" s="29">
        <f t="shared" si="13"/>
        <v>3000000</v>
      </c>
    </row>
    <row r="315" spans="1:12" s="7" customFormat="1" ht="18" x14ac:dyDescent="0.25">
      <c r="A315" s="25"/>
      <c r="B315" s="25" t="s">
        <v>192</v>
      </c>
      <c r="C315" s="26">
        <f t="shared" ref="C315:G315" si="15">SUM(C289:C314)</f>
        <v>10910000</v>
      </c>
      <c r="D315" s="26">
        <f t="shared" si="15"/>
        <v>8000000</v>
      </c>
      <c r="E315" s="26">
        <f t="shared" si="15"/>
        <v>6305000</v>
      </c>
      <c r="F315" s="26">
        <f t="shared" si="15"/>
        <v>7000000</v>
      </c>
      <c r="G315" s="26">
        <f t="shared" si="15"/>
        <v>2000000</v>
      </c>
      <c r="H315" s="26">
        <f t="shared" si="13"/>
        <v>34215000</v>
      </c>
      <c r="I315" s="17"/>
      <c r="J315" s="17"/>
      <c r="K315" s="17"/>
      <c r="L315" s="17"/>
    </row>
    <row r="316" spans="1:12" s="7" customFormat="1" ht="15.75" x14ac:dyDescent="0.25">
      <c r="A316" s="42"/>
      <c r="B316" s="42"/>
      <c r="C316" s="43"/>
      <c r="D316" s="43"/>
      <c r="E316" s="43"/>
      <c r="F316" s="43"/>
      <c r="G316" s="43"/>
      <c r="H316" s="43">
        <v>0</v>
      </c>
    </row>
    <row r="317" spans="1:12" s="7" customFormat="1" ht="18" x14ac:dyDescent="0.25">
      <c r="A317" s="58"/>
      <c r="B317" s="58" t="s">
        <v>194</v>
      </c>
      <c r="C317" s="37">
        <f>+C220+C286+C315</f>
        <v>50715000</v>
      </c>
      <c r="D317" s="37">
        <f t="shared" ref="D317:H317" si="16">+D220+D286+D315</f>
        <v>101842874</v>
      </c>
      <c r="E317" s="37">
        <f t="shared" si="16"/>
        <v>119362831</v>
      </c>
      <c r="F317" s="37">
        <f t="shared" si="16"/>
        <v>76957498</v>
      </c>
      <c r="G317" s="37">
        <f t="shared" si="16"/>
        <v>55640000</v>
      </c>
      <c r="H317" s="37">
        <f t="shared" si="16"/>
        <v>404518203</v>
      </c>
    </row>
    <row r="318" spans="1:12" ht="15.75" x14ac:dyDescent="0.25">
      <c r="A318" s="2"/>
      <c r="B318" s="2"/>
      <c r="C318" s="9"/>
      <c r="D318" s="44"/>
      <c r="E318" s="44"/>
      <c r="F318" s="44"/>
      <c r="G318" s="44"/>
      <c r="H318" s="4"/>
    </row>
    <row r="319" spans="1:12" s="7" customFormat="1" ht="15.75" x14ac:dyDescent="0.25">
      <c r="A319" s="41"/>
      <c r="B319" s="13" t="s">
        <v>186</v>
      </c>
      <c r="C319" s="3"/>
      <c r="D319" s="3"/>
      <c r="E319" s="3"/>
      <c r="F319" s="3"/>
      <c r="G319" s="3"/>
      <c r="H319" s="3"/>
    </row>
    <row r="320" spans="1:12" s="7" customFormat="1" ht="15.75" x14ac:dyDescent="0.25">
      <c r="A320" s="41" t="s">
        <v>593</v>
      </c>
      <c r="B320" s="2" t="s">
        <v>830</v>
      </c>
      <c r="C320" s="14">
        <f>853488+96500</f>
        <v>949988</v>
      </c>
      <c r="D320" s="14">
        <v>1000000</v>
      </c>
      <c r="E320" s="14">
        <v>900000</v>
      </c>
      <c r="F320" s="14">
        <v>1000000</v>
      </c>
      <c r="G320" s="9">
        <v>1000000</v>
      </c>
      <c r="H320" s="59">
        <f>SUM(C320:G320)</f>
        <v>4849988</v>
      </c>
    </row>
    <row r="321" spans="1:8" s="7" customFormat="1" ht="15.75" x14ac:dyDescent="0.25">
      <c r="A321" s="41" t="s">
        <v>725</v>
      </c>
      <c r="B321" s="2" t="s">
        <v>831</v>
      </c>
      <c r="C321" s="14"/>
      <c r="D321" s="14">
        <v>0</v>
      </c>
      <c r="E321" s="14">
        <v>0</v>
      </c>
      <c r="F321" s="14">
        <v>0</v>
      </c>
      <c r="G321" s="14">
        <v>0</v>
      </c>
      <c r="H321" s="59">
        <f t="shared" ref="H321:H340" si="17">SUM(C321:G321)</f>
        <v>0</v>
      </c>
    </row>
    <row r="322" spans="1:8" s="7" customFormat="1" ht="15.75" x14ac:dyDescent="0.25">
      <c r="A322" s="41" t="s">
        <v>726</v>
      </c>
      <c r="B322" s="2" t="s">
        <v>832</v>
      </c>
      <c r="C322" s="14"/>
      <c r="D322" s="14">
        <v>0</v>
      </c>
      <c r="E322" s="14">
        <v>0</v>
      </c>
      <c r="F322" s="14">
        <v>0</v>
      </c>
      <c r="G322" s="14">
        <v>0</v>
      </c>
      <c r="H322" s="59">
        <f t="shared" si="17"/>
        <v>0</v>
      </c>
    </row>
    <row r="323" spans="1:8" s="7" customFormat="1" ht="15.75" x14ac:dyDescent="0.25">
      <c r="A323" s="41" t="s">
        <v>727</v>
      </c>
      <c r="B323" s="2" t="s">
        <v>833</v>
      </c>
      <c r="C323" s="14"/>
      <c r="D323" s="14">
        <v>0</v>
      </c>
      <c r="E323" s="14">
        <v>0</v>
      </c>
      <c r="F323" s="14">
        <v>0</v>
      </c>
      <c r="G323" s="14">
        <v>0</v>
      </c>
      <c r="H323" s="59">
        <f t="shared" si="17"/>
        <v>0</v>
      </c>
    </row>
    <row r="324" spans="1:8" s="7" customFormat="1" ht="15.75" x14ac:dyDescent="0.25">
      <c r="A324" s="41" t="s">
        <v>728</v>
      </c>
      <c r="B324" s="2" t="s">
        <v>834</v>
      </c>
      <c r="C324" s="14"/>
      <c r="D324" s="14">
        <v>0</v>
      </c>
      <c r="E324" s="14">
        <v>0</v>
      </c>
      <c r="F324" s="14">
        <v>0</v>
      </c>
      <c r="G324" s="14">
        <v>0</v>
      </c>
      <c r="H324" s="59">
        <f t="shared" si="17"/>
        <v>0</v>
      </c>
    </row>
    <row r="325" spans="1:8" s="7" customFormat="1" ht="15.75" x14ac:dyDescent="0.25">
      <c r="A325" s="41" t="s">
        <v>729</v>
      </c>
      <c r="B325" s="2" t="s">
        <v>730</v>
      </c>
      <c r="C325" s="14"/>
      <c r="D325" s="14">
        <v>0</v>
      </c>
      <c r="E325" s="14">
        <v>0</v>
      </c>
      <c r="F325" s="14">
        <v>0</v>
      </c>
      <c r="G325" s="14">
        <v>0</v>
      </c>
      <c r="H325" s="59">
        <f t="shared" si="17"/>
        <v>0</v>
      </c>
    </row>
    <row r="326" spans="1:8" s="7" customFormat="1" ht="15.75" x14ac:dyDescent="0.25">
      <c r="A326" s="41" t="s">
        <v>731</v>
      </c>
      <c r="B326" s="2" t="s">
        <v>732</v>
      </c>
      <c r="C326" s="14"/>
      <c r="D326" s="14">
        <v>0</v>
      </c>
      <c r="E326" s="14">
        <v>0</v>
      </c>
      <c r="F326" s="14">
        <v>0</v>
      </c>
      <c r="G326" s="14">
        <v>0</v>
      </c>
      <c r="H326" s="59">
        <f t="shared" si="17"/>
        <v>0</v>
      </c>
    </row>
    <row r="327" spans="1:8" s="7" customFormat="1" ht="15.75" x14ac:dyDescent="0.25">
      <c r="A327" s="41" t="s">
        <v>733</v>
      </c>
      <c r="B327" s="2" t="s">
        <v>734</v>
      </c>
      <c r="C327" s="14"/>
      <c r="D327" s="14">
        <v>0</v>
      </c>
      <c r="E327" s="14">
        <v>0</v>
      </c>
      <c r="F327" s="14">
        <v>0</v>
      </c>
      <c r="G327" s="14">
        <v>0</v>
      </c>
      <c r="H327" s="59">
        <f t="shared" si="17"/>
        <v>0</v>
      </c>
    </row>
    <row r="328" spans="1:8" s="7" customFormat="1" ht="15.75" x14ac:dyDescent="0.25">
      <c r="A328" s="41" t="s">
        <v>735</v>
      </c>
      <c r="B328" s="2" t="s">
        <v>736</v>
      </c>
      <c r="C328" s="14"/>
      <c r="D328" s="14">
        <v>0</v>
      </c>
      <c r="E328" s="14">
        <v>0</v>
      </c>
      <c r="F328" s="14">
        <v>0</v>
      </c>
      <c r="G328" s="14">
        <v>0</v>
      </c>
      <c r="H328" s="59">
        <f t="shared" si="17"/>
        <v>0</v>
      </c>
    </row>
    <row r="329" spans="1:8" s="7" customFormat="1" ht="15.75" x14ac:dyDescent="0.25">
      <c r="A329" s="41" t="s">
        <v>737</v>
      </c>
      <c r="B329" s="2" t="s">
        <v>835</v>
      </c>
      <c r="C329" s="14"/>
      <c r="D329" s="14">
        <v>0</v>
      </c>
      <c r="E329" s="14">
        <v>0</v>
      </c>
      <c r="F329" s="14">
        <v>0</v>
      </c>
      <c r="G329" s="14">
        <v>0</v>
      </c>
      <c r="H329" s="59">
        <f t="shared" si="17"/>
        <v>0</v>
      </c>
    </row>
    <row r="330" spans="1:8" s="7" customFormat="1" ht="15.75" x14ac:dyDescent="0.25">
      <c r="A330" s="41" t="s">
        <v>738</v>
      </c>
      <c r="B330" s="2" t="s">
        <v>836</v>
      </c>
      <c r="C330" s="14"/>
      <c r="D330" s="14">
        <v>0</v>
      </c>
      <c r="E330" s="14">
        <v>0</v>
      </c>
      <c r="F330" s="14">
        <v>0</v>
      </c>
      <c r="G330" s="14">
        <v>0</v>
      </c>
      <c r="H330" s="59">
        <f t="shared" si="17"/>
        <v>0</v>
      </c>
    </row>
    <row r="331" spans="1:8" s="7" customFormat="1" ht="15.75" x14ac:dyDescent="0.25">
      <c r="A331" s="41" t="s">
        <v>739</v>
      </c>
      <c r="B331" s="2" t="s">
        <v>837</v>
      </c>
      <c r="C331" s="14"/>
      <c r="D331" s="14">
        <v>0</v>
      </c>
      <c r="E331" s="14">
        <v>0</v>
      </c>
      <c r="F331" s="14">
        <v>0</v>
      </c>
      <c r="G331" s="14">
        <v>0</v>
      </c>
      <c r="H331" s="59">
        <f t="shared" si="17"/>
        <v>0</v>
      </c>
    </row>
    <row r="332" spans="1:8" s="7" customFormat="1" ht="15.75" x14ac:dyDescent="0.25">
      <c r="A332" s="41" t="s">
        <v>740</v>
      </c>
      <c r="B332" s="2" t="s">
        <v>741</v>
      </c>
      <c r="C332" s="14"/>
      <c r="D332" s="14">
        <v>0</v>
      </c>
      <c r="E332" s="14">
        <v>0</v>
      </c>
      <c r="F332" s="14">
        <v>0</v>
      </c>
      <c r="G332" s="14">
        <v>0</v>
      </c>
      <c r="H332" s="59">
        <f t="shared" si="17"/>
        <v>0</v>
      </c>
    </row>
    <row r="333" spans="1:8" s="7" customFormat="1" ht="15.75" x14ac:dyDescent="0.25">
      <c r="A333" s="41" t="s">
        <v>742</v>
      </c>
      <c r="B333" s="2" t="s">
        <v>838</v>
      </c>
      <c r="C333" s="14"/>
      <c r="D333" s="14">
        <v>0</v>
      </c>
      <c r="E333" s="14">
        <v>0</v>
      </c>
      <c r="F333" s="14">
        <v>0</v>
      </c>
      <c r="G333" s="14">
        <v>0</v>
      </c>
      <c r="H333" s="59">
        <f t="shared" si="17"/>
        <v>0</v>
      </c>
    </row>
    <row r="334" spans="1:8" s="7" customFormat="1" ht="15.75" x14ac:dyDescent="0.25">
      <c r="A334" s="41" t="s">
        <v>596</v>
      </c>
      <c r="B334" s="2" t="s">
        <v>235</v>
      </c>
      <c r="C334" s="14"/>
      <c r="D334" s="14">
        <v>0</v>
      </c>
      <c r="E334" s="14">
        <v>0</v>
      </c>
      <c r="F334" s="14">
        <v>0</v>
      </c>
      <c r="G334" s="14">
        <v>0</v>
      </c>
      <c r="H334" s="59">
        <f t="shared" si="17"/>
        <v>0</v>
      </c>
    </row>
    <row r="335" spans="1:8" s="7" customFormat="1" ht="15.75" x14ac:dyDescent="0.25">
      <c r="A335" s="41" t="s">
        <v>597</v>
      </c>
      <c r="B335" s="2" t="s">
        <v>157</v>
      </c>
      <c r="C335" s="14"/>
      <c r="D335" s="14">
        <v>0</v>
      </c>
      <c r="E335" s="14">
        <v>0</v>
      </c>
      <c r="F335" s="14">
        <v>0</v>
      </c>
      <c r="G335" s="14">
        <v>0</v>
      </c>
      <c r="H335" s="59">
        <f t="shared" si="17"/>
        <v>0</v>
      </c>
    </row>
    <row r="336" spans="1:8" s="7" customFormat="1" ht="15.75" x14ac:dyDescent="0.25">
      <c r="A336" s="41" t="s">
        <v>595</v>
      </c>
      <c r="B336" s="2" t="s">
        <v>839</v>
      </c>
      <c r="C336" s="14">
        <v>750012</v>
      </c>
      <c r="D336" s="14">
        <v>750000</v>
      </c>
      <c r="E336" s="14">
        <v>750000</v>
      </c>
      <c r="F336" s="14">
        <v>750000</v>
      </c>
      <c r="G336" s="9">
        <v>750000</v>
      </c>
      <c r="H336" s="59">
        <f t="shared" si="17"/>
        <v>3750012</v>
      </c>
    </row>
    <row r="337" spans="1:8" s="7" customFormat="1" ht="15.75" x14ac:dyDescent="0.25">
      <c r="A337" s="41" t="s">
        <v>594</v>
      </c>
      <c r="B337" s="2" t="s">
        <v>234</v>
      </c>
      <c r="C337" s="14"/>
      <c r="D337" s="14">
        <v>0</v>
      </c>
      <c r="E337" s="14">
        <v>0</v>
      </c>
      <c r="F337" s="14">
        <v>500000</v>
      </c>
      <c r="G337" s="9">
        <v>500000</v>
      </c>
      <c r="H337" s="59">
        <f t="shared" si="17"/>
        <v>1000000</v>
      </c>
    </row>
    <row r="338" spans="1:8" s="7" customFormat="1" ht="15.75" x14ac:dyDescent="0.25">
      <c r="A338" s="41" t="s">
        <v>598</v>
      </c>
      <c r="B338" s="2" t="s">
        <v>167</v>
      </c>
      <c r="C338" s="14"/>
      <c r="D338" s="14">
        <v>0</v>
      </c>
      <c r="E338" s="14">
        <v>0</v>
      </c>
      <c r="F338" s="14">
        <v>0</v>
      </c>
      <c r="G338" s="14">
        <v>0</v>
      </c>
      <c r="H338" s="59">
        <f>SUM(C338:G338)</f>
        <v>0</v>
      </c>
    </row>
    <row r="339" spans="1:8" s="7" customFormat="1" ht="15.75" x14ac:dyDescent="0.25">
      <c r="A339" s="41" t="s">
        <v>873</v>
      </c>
      <c r="B339" s="2" t="s">
        <v>172</v>
      </c>
      <c r="C339" s="14">
        <f>284988+15012</f>
        <v>300000</v>
      </c>
      <c r="D339" s="14">
        <v>250000</v>
      </c>
      <c r="E339" s="14">
        <v>250000</v>
      </c>
      <c r="F339" s="14">
        <v>250000</v>
      </c>
      <c r="G339" s="9">
        <v>250000</v>
      </c>
      <c r="H339" s="59">
        <f t="shared" si="17"/>
        <v>1300000</v>
      </c>
    </row>
    <row r="340" spans="1:8" s="7" customFormat="1" ht="15.75" x14ac:dyDescent="0.25">
      <c r="A340" s="53"/>
      <c r="B340" s="53" t="s">
        <v>187</v>
      </c>
      <c r="C340" s="50">
        <f t="shared" ref="C340:G340" si="18">SUM(C320:C339)</f>
        <v>2000000</v>
      </c>
      <c r="D340" s="50">
        <f t="shared" si="18"/>
        <v>2000000</v>
      </c>
      <c r="E340" s="50">
        <f t="shared" si="18"/>
        <v>1900000</v>
      </c>
      <c r="F340" s="50">
        <f t="shared" si="18"/>
        <v>2500000</v>
      </c>
      <c r="G340" s="50">
        <f t="shared" si="18"/>
        <v>2500000</v>
      </c>
      <c r="H340" s="50">
        <f t="shared" si="17"/>
        <v>10900000</v>
      </c>
    </row>
    <row r="341" spans="1:8" s="7" customFormat="1" ht="15.75" x14ac:dyDescent="0.25">
      <c r="A341" s="12"/>
      <c r="B341" s="2"/>
      <c r="C341" s="14"/>
      <c r="D341" s="14"/>
      <c r="E341" s="14"/>
      <c r="F341" s="14"/>
      <c r="G341" s="14"/>
      <c r="H341" s="18"/>
    </row>
    <row r="342" spans="1:8" s="7" customFormat="1" ht="15.75" x14ac:dyDescent="0.25">
      <c r="A342" s="12"/>
      <c r="B342" s="13" t="s">
        <v>188</v>
      </c>
      <c r="C342" s="14"/>
      <c r="D342" s="14"/>
      <c r="E342" s="14"/>
      <c r="F342" s="14"/>
      <c r="G342" s="14"/>
      <c r="H342" s="18"/>
    </row>
    <row r="343" spans="1:8" s="7" customFormat="1" ht="15.75" x14ac:dyDescent="0.25">
      <c r="A343" s="41"/>
      <c r="B343" s="2" t="s">
        <v>178</v>
      </c>
      <c r="C343" s="14"/>
      <c r="D343" s="14">
        <v>0</v>
      </c>
      <c r="E343" s="14">
        <v>0</v>
      </c>
      <c r="F343" s="14">
        <v>4200000</v>
      </c>
      <c r="G343" s="9">
        <v>4000000</v>
      </c>
      <c r="H343" s="59">
        <f>SUM(C343:G343)</f>
        <v>8200000</v>
      </c>
    </row>
    <row r="344" spans="1:8" s="7" customFormat="1" ht="15.75" x14ac:dyDescent="0.25">
      <c r="A344" s="41" t="s">
        <v>708</v>
      </c>
      <c r="B344" s="2" t="s">
        <v>825</v>
      </c>
      <c r="C344" s="14"/>
      <c r="D344" s="14">
        <v>0</v>
      </c>
      <c r="E344" s="14">
        <v>0</v>
      </c>
      <c r="F344" s="14">
        <v>0</v>
      </c>
      <c r="G344" s="14">
        <v>0</v>
      </c>
      <c r="H344" s="29">
        <f>SUM(C344:G344)</f>
        <v>0</v>
      </c>
    </row>
    <row r="345" spans="1:8" s="7" customFormat="1" ht="15.75" x14ac:dyDescent="0.25">
      <c r="A345" s="41" t="s">
        <v>718</v>
      </c>
      <c r="B345" s="2" t="s">
        <v>840</v>
      </c>
      <c r="C345" s="14"/>
      <c r="D345" s="14">
        <v>0</v>
      </c>
      <c r="E345" s="14">
        <v>0</v>
      </c>
      <c r="F345" s="14">
        <v>0</v>
      </c>
      <c r="G345" s="14">
        <v>0</v>
      </c>
      <c r="H345" s="29">
        <f>SUM(C345:G345)</f>
        <v>0</v>
      </c>
    </row>
    <row r="346" spans="1:8" s="7" customFormat="1" ht="15.75" x14ac:dyDescent="0.25">
      <c r="A346" s="41" t="s">
        <v>248</v>
      </c>
      <c r="B346" s="2" t="s">
        <v>251</v>
      </c>
      <c r="C346" s="14"/>
      <c r="D346" s="14">
        <v>0</v>
      </c>
      <c r="E346" s="14">
        <v>0</v>
      </c>
      <c r="F346" s="14">
        <v>0</v>
      </c>
      <c r="G346" s="14">
        <v>0</v>
      </c>
      <c r="H346" s="29">
        <f t="shared" ref="H346:H351" si="19">SUM(C346:G346)</f>
        <v>0</v>
      </c>
    </row>
    <row r="347" spans="1:8" s="7" customFormat="1" ht="15.75" x14ac:dyDescent="0.25">
      <c r="A347" s="41" t="s">
        <v>249</v>
      </c>
      <c r="B347" s="2" t="s">
        <v>252</v>
      </c>
      <c r="C347" s="14"/>
      <c r="D347" s="14">
        <v>0</v>
      </c>
      <c r="E347" s="14">
        <v>0</v>
      </c>
      <c r="F347" s="14">
        <v>0</v>
      </c>
      <c r="G347" s="14">
        <v>0</v>
      </c>
      <c r="H347" s="29">
        <f t="shared" si="19"/>
        <v>0</v>
      </c>
    </row>
    <row r="348" spans="1:8" s="7" customFormat="1" ht="15.75" x14ac:dyDescent="0.25">
      <c r="A348" s="41" t="s">
        <v>250</v>
      </c>
      <c r="B348" s="2" t="s">
        <v>253</v>
      </c>
      <c r="C348" s="14"/>
      <c r="D348" s="14">
        <v>0</v>
      </c>
      <c r="E348" s="14">
        <v>0</v>
      </c>
      <c r="F348" s="14">
        <v>0</v>
      </c>
      <c r="G348" s="14">
        <v>0</v>
      </c>
      <c r="H348" s="29">
        <f t="shared" si="19"/>
        <v>0</v>
      </c>
    </row>
    <row r="349" spans="1:8" s="7" customFormat="1" ht="15.75" x14ac:dyDescent="0.25">
      <c r="A349" s="41" t="s">
        <v>619</v>
      </c>
      <c r="B349" s="2" t="s">
        <v>841</v>
      </c>
      <c r="C349" s="14"/>
      <c r="D349" s="14">
        <v>0</v>
      </c>
      <c r="E349" s="14">
        <v>0</v>
      </c>
      <c r="F349" s="14">
        <v>0</v>
      </c>
      <c r="G349" s="14">
        <v>0</v>
      </c>
      <c r="H349" s="29">
        <f t="shared" si="19"/>
        <v>0</v>
      </c>
    </row>
    <row r="350" spans="1:8" s="7" customFormat="1" ht="15.75" x14ac:dyDescent="0.25">
      <c r="A350" s="41" t="s">
        <v>599</v>
      </c>
      <c r="B350" s="2" t="s">
        <v>158</v>
      </c>
      <c r="C350" s="14"/>
      <c r="D350" s="14">
        <v>0</v>
      </c>
      <c r="E350" s="14">
        <v>0</v>
      </c>
      <c r="F350" s="14">
        <v>0</v>
      </c>
      <c r="G350" s="14">
        <v>0</v>
      </c>
      <c r="H350" s="29">
        <f t="shared" si="19"/>
        <v>0</v>
      </c>
    </row>
    <row r="351" spans="1:8" s="7" customFormat="1" ht="15.75" x14ac:dyDescent="0.25">
      <c r="A351" s="41" t="s">
        <v>223</v>
      </c>
      <c r="B351" s="2" t="s">
        <v>156</v>
      </c>
      <c r="C351" s="14"/>
      <c r="D351" s="14">
        <v>0</v>
      </c>
      <c r="E351" s="14">
        <v>0</v>
      </c>
      <c r="F351" s="14">
        <v>0</v>
      </c>
      <c r="G351" s="14">
        <v>0</v>
      </c>
      <c r="H351" s="29">
        <f t="shared" si="19"/>
        <v>0</v>
      </c>
    </row>
    <row r="352" spans="1:8" s="7" customFormat="1" ht="15.75" x14ac:dyDescent="0.25">
      <c r="A352" s="41" t="s">
        <v>600</v>
      </c>
      <c r="B352" s="2" t="s">
        <v>159</v>
      </c>
      <c r="C352" s="14"/>
      <c r="D352" s="14">
        <v>0</v>
      </c>
      <c r="E352" s="14">
        <v>0</v>
      </c>
      <c r="F352" s="14">
        <v>0</v>
      </c>
      <c r="G352" s="14">
        <v>0</v>
      </c>
      <c r="H352" s="29">
        <f>SUM(C352:G352)</f>
        <v>0</v>
      </c>
    </row>
    <row r="353" spans="1:8" s="7" customFormat="1" ht="15.75" x14ac:dyDescent="0.25">
      <c r="A353" s="41" t="s">
        <v>601</v>
      </c>
      <c r="B353" s="2" t="s">
        <v>160</v>
      </c>
      <c r="C353" s="14"/>
      <c r="D353" s="14">
        <v>0</v>
      </c>
      <c r="E353" s="14">
        <v>0</v>
      </c>
      <c r="F353" s="14">
        <v>0</v>
      </c>
      <c r="G353" s="14">
        <v>0</v>
      </c>
      <c r="H353" s="29">
        <f t="shared" ref="H353:H369" si="20">SUM(C353:G353)</f>
        <v>0</v>
      </c>
    </row>
    <row r="354" spans="1:8" s="7" customFormat="1" ht="15.75" x14ac:dyDescent="0.25">
      <c r="A354" s="41" t="s">
        <v>602</v>
      </c>
      <c r="B354" s="2" t="s">
        <v>161</v>
      </c>
      <c r="C354" s="14"/>
      <c r="D354" s="14">
        <v>0</v>
      </c>
      <c r="E354" s="14">
        <v>0</v>
      </c>
      <c r="F354" s="14">
        <v>0</v>
      </c>
      <c r="G354" s="14">
        <v>0</v>
      </c>
      <c r="H354" s="29">
        <f t="shared" si="20"/>
        <v>0</v>
      </c>
    </row>
    <row r="355" spans="1:8" s="7" customFormat="1" ht="15.75" x14ac:dyDescent="0.25">
      <c r="A355" s="41" t="s">
        <v>603</v>
      </c>
      <c r="B355" s="2" t="s">
        <v>162</v>
      </c>
      <c r="C355" s="14"/>
      <c r="D355" s="14">
        <v>0</v>
      </c>
      <c r="E355" s="14">
        <v>0</v>
      </c>
      <c r="F355" s="14">
        <v>0</v>
      </c>
      <c r="G355" s="14">
        <v>0</v>
      </c>
      <c r="H355" s="29">
        <f t="shared" si="20"/>
        <v>0</v>
      </c>
    </row>
    <row r="356" spans="1:8" s="7" customFormat="1" ht="15.75" x14ac:dyDescent="0.25">
      <c r="A356" s="41" t="s">
        <v>604</v>
      </c>
      <c r="B356" s="2" t="s">
        <v>163</v>
      </c>
      <c r="C356" s="14"/>
      <c r="D356" s="14">
        <v>0</v>
      </c>
      <c r="E356" s="14">
        <v>0</v>
      </c>
      <c r="F356" s="14">
        <v>0</v>
      </c>
      <c r="G356" s="14">
        <v>0</v>
      </c>
      <c r="H356" s="29">
        <f t="shared" si="20"/>
        <v>0</v>
      </c>
    </row>
    <row r="357" spans="1:8" s="7" customFormat="1" ht="15.75" x14ac:dyDescent="0.25">
      <c r="A357" s="41" t="s">
        <v>605</v>
      </c>
      <c r="B357" s="2" t="s">
        <v>164</v>
      </c>
      <c r="C357" s="14"/>
      <c r="D357" s="14">
        <v>0</v>
      </c>
      <c r="E357" s="14">
        <v>0</v>
      </c>
      <c r="F357" s="14">
        <v>0</v>
      </c>
      <c r="G357" s="14">
        <v>0</v>
      </c>
      <c r="H357" s="29">
        <f t="shared" si="20"/>
        <v>0</v>
      </c>
    </row>
    <row r="358" spans="1:8" s="7" customFormat="1" ht="15.75" x14ac:dyDescent="0.25">
      <c r="A358" s="41" t="s">
        <v>606</v>
      </c>
      <c r="B358" s="2" t="s">
        <v>165</v>
      </c>
      <c r="C358" s="14"/>
      <c r="D358" s="14">
        <v>0</v>
      </c>
      <c r="E358" s="14">
        <v>0</v>
      </c>
      <c r="F358" s="14">
        <v>0</v>
      </c>
      <c r="G358" s="14">
        <v>0</v>
      </c>
      <c r="H358" s="29">
        <f t="shared" si="20"/>
        <v>0</v>
      </c>
    </row>
    <row r="359" spans="1:8" s="7" customFormat="1" ht="15.75" x14ac:dyDescent="0.25">
      <c r="A359" s="41" t="s">
        <v>607</v>
      </c>
      <c r="B359" s="2" t="s">
        <v>166</v>
      </c>
      <c r="C359" s="14"/>
      <c r="D359" s="14">
        <v>0</v>
      </c>
      <c r="E359" s="14">
        <v>0</v>
      </c>
      <c r="F359" s="14">
        <v>0</v>
      </c>
      <c r="G359" s="14">
        <v>0</v>
      </c>
      <c r="H359" s="29">
        <f t="shared" si="20"/>
        <v>0</v>
      </c>
    </row>
    <row r="360" spans="1:8" s="7" customFormat="1" ht="15.75" x14ac:dyDescent="0.25">
      <c r="A360" s="41" t="s">
        <v>608</v>
      </c>
      <c r="B360" s="2" t="s">
        <v>168</v>
      </c>
      <c r="C360" s="14"/>
      <c r="D360" s="14">
        <v>0</v>
      </c>
      <c r="E360" s="14">
        <v>0</v>
      </c>
      <c r="F360" s="14">
        <v>0</v>
      </c>
      <c r="G360" s="14">
        <v>0</v>
      </c>
      <c r="H360" s="29">
        <f t="shared" si="20"/>
        <v>0</v>
      </c>
    </row>
    <row r="361" spans="1:8" s="7" customFormat="1" ht="15.75" x14ac:dyDescent="0.25">
      <c r="A361" s="41" t="s">
        <v>609</v>
      </c>
      <c r="B361" s="2" t="s">
        <v>169</v>
      </c>
      <c r="C361" s="14"/>
      <c r="D361" s="14">
        <v>0</v>
      </c>
      <c r="E361" s="14">
        <v>0</v>
      </c>
      <c r="F361" s="14">
        <v>0</v>
      </c>
      <c r="G361" s="14">
        <v>0</v>
      </c>
      <c r="H361" s="29">
        <f t="shared" si="20"/>
        <v>0</v>
      </c>
    </row>
    <row r="362" spans="1:8" s="7" customFormat="1" ht="15.75" x14ac:dyDescent="0.25">
      <c r="A362" s="41" t="s">
        <v>610</v>
      </c>
      <c r="B362" s="2" t="s">
        <v>170</v>
      </c>
      <c r="C362" s="14"/>
      <c r="D362" s="14">
        <v>0</v>
      </c>
      <c r="E362" s="14">
        <v>0</v>
      </c>
      <c r="F362" s="14">
        <v>0</v>
      </c>
      <c r="G362" s="14">
        <v>0</v>
      </c>
      <c r="H362" s="29">
        <f t="shared" si="20"/>
        <v>0</v>
      </c>
    </row>
    <row r="363" spans="1:8" s="7" customFormat="1" ht="15.75" x14ac:dyDescent="0.25">
      <c r="A363" s="41" t="s">
        <v>611</v>
      </c>
      <c r="B363" s="2" t="s">
        <v>171</v>
      </c>
      <c r="C363" s="14"/>
      <c r="D363" s="14">
        <v>0</v>
      </c>
      <c r="E363" s="14">
        <v>0</v>
      </c>
      <c r="F363" s="14">
        <v>0</v>
      </c>
      <c r="G363" s="14">
        <v>0</v>
      </c>
      <c r="H363" s="29">
        <f t="shared" si="20"/>
        <v>0</v>
      </c>
    </row>
    <row r="364" spans="1:8" s="7" customFormat="1" ht="15.75" x14ac:dyDescent="0.25">
      <c r="A364" s="41" t="s">
        <v>612</v>
      </c>
      <c r="B364" s="2" t="s">
        <v>236</v>
      </c>
      <c r="C364" s="14"/>
      <c r="D364" s="14">
        <v>0</v>
      </c>
      <c r="E364" s="14">
        <v>0</v>
      </c>
      <c r="F364" s="14">
        <v>0</v>
      </c>
      <c r="G364" s="14">
        <v>0</v>
      </c>
      <c r="H364" s="29">
        <f t="shared" si="20"/>
        <v>0</v>
      </c>
    </row>
    <row r="365" spans="1:8" s="7" customFormat="1" ht="15.75" x14ac:dyDescent="0.25">
      <c r="A365" s="41" t="s">
        <v>613</v>
      </c>
      <c r="B365" s="2" t="s">
        <v>237</v>
      </c>
      <c r="C365" s="14"/>
      <c r="D365" s="14">
        <v>0</v>
      </c>
      <c r="E365" s="14">
        <v>0</v>
      </c>
      <c r="F365" s="14">
        <v>0</v>
      </c>
      <c r="G365" s="14">
        <v>0</v>
      </c>
      <c r="H365" s="29">
        <f t="shared" si="20"/>
        <v>0</v>
      </c>
    </row>
    <row r="366" spans="1:8" s="7" customFormat="1" ht="15.75" x14ac:dyDescent="0.25">
      <c r="A366" s="41" t="s">
        <v>614</v>
      </c>
      <c r="B366" s="2" t="s">
        <v>238</v>
      </c>
      <c r="C366" s="14"/>
      <c r="D366" s="14">
        <v>0</v>
      </c>
      <c r="E366" s="14">
        <v>0</v>
      </c>
      <c r="F366" s="14">
        <v>0</v>
      </c>
      <c r="G366" s="14">
        <v>0</v>
      </c>
      <c r="H366" s="29">
        <f t="shared" si="20"/>
        <v>0</v>
      </c>
    </row>
    <row r="367" spans="1:8" s="7" customFormat="1" ht="15.75" x14ac:dyDescent="0.25">
      <c r="A367" s="41" t="s">
        <v>615</v>
      </c>
      <c r="B367" s="2" t="s">
        <v>616</v>
      </c>
      <c r="C367" s="14"/>
      <c r="D367" s="14">
        <v>0</v>
      </c>
      <c r="E367" s="14">
        <v>0</v>
      </c>
      <c r="F367" s="14">
        <v>0</v>
      </c>
      <c r="G367" s="14">
        <v>0</v>
      </c>
      <c r="H367" s="29">
        <f t="shared" si="20"/>
        <v>0</v>
      </c>
    </row>
    <row r="368" spans="1:8" s="7" customFormat="1" ht="15.75" x14ac:dyDescent="0.25">
      <c r="A368" s="41" t="s">
        <v>617</v>
      </c>
      <c r="B368" s="2" t="s">
        <v>618</v>
      </c>
      <c r="C368" s="14"/>
      <c r="D368" s="14">
        <v>0</v>
      </c>
      <c r="E368" s="14">
        <v>0</v>
      </c>
      <c r="F368" s="14">
        <v>0</v>
      </c>
      <c r="G368" s="14">
        <v>0</v>
      </c>
      <c r="H368" s="29">
        <f t="shared" si="20"/>
        <v>0</v>
      </c>
    </row>
    <row r="369" spans="1:8" s="7" customFormat="1" ht="15.75" x14ac:dyDescent="0.25">
      <c r="A369" s="41" t="s">
        <v>627</v>
      </c>
      <c r="B369" s="2" t="s">
        <v>628</v>
      </c>
      <c r="C369" s="14"/>
      <c r="D369" s="14">
        <v>0</v>
      </c>
      <c r="E369" s="14">
        <v>0</v>
      </c>
      <c r="F369" s="14">
        <v>0</v>
      </c>
      <c r="G369" s="14">
        <v>0</v>
      </c>
      <c r="H369" s="29">
        <f t="shared" si="20"/>
        <v>0</v>
      </c>
    </row>
    <row r="370" spans="1:8" s="7" customFormat="1" ht="15.75" x14ac:dyDescent="0.25">
      <c r="A370" s="51"/>
      <c r="B370" s="51" t="s">
        <v>189</v>
      </c>
      <c r="C370" s="52">
        <f t="shared" ref="C370:G370" si="21">SUM(C343:C369)</f>
        <v>0</v>
      </c>
      <c r="D370" s="52">
        <f t="shared" si="21"/>
        <v>0</v>
      </c>
      <c r="E370" s="52">
        <f t="shared" si="21"/>
        <v>0</v>
      </c>
      <c r="F370" s="52">
        <f t="shared" si="21"/>
        <v>4200000</v>
      </c>
      <c r="G370" s="52">
        <f t="shared" si="21"/>
        <v>4000000</v>
      </c>
      <c r="H370" s="52">
        <f>SUM(C370:G370)</f>
        <v>8200000</v>
      </c>
    </row>
    <row r="371" spans="1:8" s="7" customFormat="1" ht="15.75" x14ac:dyDescent="0.25">
      <c r="A371" s="12"/>
      <c r="B371" s="2"/>
      <c r="C371" s="14"/>
      <c r="D371" s="14"/>
      <c r="E371" s="14"/>
      <c r="F371" s="14"/>
      <c r="G371" s="14"/>
      <c r="H371" s="18"/>
    </row>
    <row r="372" spans="1:8" s="7" customFormat="1" ht="15.75" x14ac:dyDescent="0.25">
      <c r="A372" s="12"/>
      <c r="B372" s="13" t="s">
        <v>185</v>
      </c>
      <c r="C372" s="14"/>
      <c r="D372" s="14"/>
      <c r="E372" s="14"/>
      <c r="F372" s="14"/>
      <c r="G372" s="14"/>
      <c r="H372" s="18"/>
    </row>
    <row r="373" spans="1:8" s="7" customFormat="1" ht="15.75" x14ac:dyDescent="0.25">
      <c r="A373" s="41" t="s">
        <v>624</v>
      </c>
      <c r="B373" s="2" t="s">
        <v>625</v>
      </c>
      <c r="C373" s="14"/>
      <c r="D373" s="14">
        <v>0</v>
      </c>
      <c r="E373" s="14">
        <v>0</v>
      </c>
      <c r="F373" s="14">
        <v>0</v>
      </c>
      <c r="G373" s="14">
        <v>0</v>
      </c>
      <c r="H373" s="59">
        <f t="shared" ref="H373:H404" si="22">SUM(C373:G373)</f>
        <v>0</v>
      </c>
    </row>
    <row r="374" spans="1:8" s="7" customFormat="1" ht="15.75" x14ac:dyDescent="0.25">
      <c r="A374" s="41" t="s">
        <v>373</v>
      </c>
      <c r="B374" s="2" t="s">
        <v>896</v>
      </c>
      <c r="C374" s="14">
        <f>5570412+48000</f>
        <v>5618412</v>
      </c>
      <c r="D374" s="14">
        <v>0</v>
      </c>
      <c r="E374" s="14">
        <v>0</v>
      </c>
      <c r="F374" s="14">
        <v>0</v>
      </c>
      <c r="G374" s="14">
        <v>0</v>
      </c>
      <c r="H374" s="59">
        <f t="shared" si="22"/>
        <v>5618412</v>
      </c>
    </row>
    <row r="375" spans="1:8" s="7" customFormat="1" ht="15.75" x14ac:dyDescent="0.25">
      <c r="A375" s="41" t="s">
        <v>374</v>
      </c>
      <c r="B375" s="2" t="s">
        <v>375</v>
      </c>
      <c r="C375" s="14">
        <v>4141135</v>
      </c>
      <c r="D375" s="14">
        <v>6184960</v>
      </c>
      <c r="E375" s="14">
        <v>0</v>
      </c>
      <c r="F375" s="14">
        <v>0</v>
      </c>
      <c r="G375" s="14">
        <v>0</v>
      </c>
      <c r="H375" s="59">
        <f t="shared" si="22"/>
        <v>10326095</v>
      </c>
    </row>
    <row r="376" spans="1:8" s="7" customFormat="1" ht="15.75" x14ac:dyDescent="0.25">
      <c r="A376" s="41" t="s">
        <v>376</v>
      </c>
      <c r="B376" s="2" t="s">
        <v>377</v>
      </c>
      <c r="C376" s="14">
        <v>650653</v>
      </c>
      <c r="D376" s="14">
        <v>3815889</v>
      </c>
      <c r="E376" s="14">
        <v>7486951</v>
      </c>
      <c r="F376" s="14">
        <v>0</v>
      </c>
      <c r="G376" s="14">
        <v>0</v>
      </c>
      <c r="H376" s="59">
        <f t="shared" si="22"/>
        <v>11953493</v>
      </c>
    </row>
    <row r="377" spans="1:8" s="7" customFormat="1" ht="15.75" x14ac:dyDescent="0.25">
      <c r="A377" s="41" t="s">
        <v>378</v>
      </c>
      <c r="B377" s="2" t="s">
        <v>379</v>
      </c>
      <c r="C377" s="14"/>
      <c r="D377" s="14">
        <v>0</v>
      </c>
      <c r="E377" s="14">
        <v>2339429</v>
      </c>
      <c r="F377" s="14">
        <v>1149811</v>
      </c>
      <c r="G377" s="14">
        <v>0</v>
      </c>
      <c r="H377" s="59">
        <f t="shared" si="22"/>
        <v>3489240</v>
      </c>
    </row>
    <row r="378" spans="1:8" s="7" customFormat="1" ht="15.75" x14ac:dyDescent="0.25">
      <c r="A378" s="41" t="s">
        <v>380</v>
      </c>
      <c r="B378" s="2" t="s">
        <v>381</v>
      </c>
      <c r="C378" s="14">
        <f>2098429+50000</f>
        <v>2148429</v>
      </c>
      <c r="D378" s="14">
        <v>819814</v>
      </c>
      <c r="E378" s="14">
        <v>0</v>
      </c>
      <c r="F378" s="14">
        <v>0</v>
      </c>
      <c r="G378" s="14">
        <v>0</v>
      </c>
      <c r="H378" s="59">
        <f t="shared" si="22"/>
        <v>2968243</v>
      </c>
    </row>
    <row r="379" spans="1:8" s="7" customFormat="1" ht="15.75" x14ac:dyDescent="0.25">
      <c r="A379" s="41" t="s">
        <v>382</v>
      </c>
      <c r="B379" s="2" t="s">
        <v>383</v>
      </c>
      <c r="C379" s="14">
        <v>749005</v>
      </c>
      <c r="D379" s="14">
        <v>0</v>
      </c>
      <c r="E379" s="14">
        <v>0</v>
      </c>
      <c r="F379" s="14">
        <v>0</v>
      </c>
      <c r="G379" s="14">
        <v>0</v>
      </c>
      <c r="H379" s="59">
        <f t="shared" si="22"/>
        <v>749005</v>
      </c>
    </row>
    <row r="380" spans="1:8" s="7" customFormat="1" ht="15.75" x14ac:dyDescent="0.25">
      <c r="A380" s="41" t="s">
        <v>384</v>
      </c>
      <c r="B380" s="2" t="s">
        <v>385</v>
      </c>
      <c r="C380" s="14">
        <f>284550+49500</f>
        <v>334050</v>
      </c>
      <c r="D380" s="14">
        <v>0</v>
      </c>
      <c r="E380" s="14">
        <v>0</v>
      </c>
      <c r="F380" s="14">
        <v>0</v>
      </c>
      <c r="G380" s="14">
        <v>0</v>
      </c>
      <c r="H380" s="59">
        <f t="shared" si="22"/>
        <v>334050</v>
      </c>
    </row>
    <row r="381" spans="1:8" s="7" customFormat="1" ht="15.75" x14ac:dyDescent="0.25">
      <c r="A381" s="41" t="s">
        <v>386</v>
      </c>
      <c r="B381" s="2" t="s">
        <v>387</v>
      </c>
      <c r="C381" s="14">
        <f>426720+15300</f>
        <v>442020</v>
      </c>
      <c r="D381" s="14">
        <v>0</v>
      </c>
      <c r="E381" s="14">
        <v>0</v>
      </c>
      <c r="F381" s="14">
        <v>0</v>
      </c>
      <c r="G381" s="14">
        <v>0</v>
      </c>
      <c r="H381" s="59">
        <f t="shared" si="22"/>
        <v>442020</v>
      </c>
    </row>
    <row r="382" spans="1:8" s="7" customFormat="1" ht="15.75" x14ac:dyDescent="0.25">
      <c r="A382" s="41" t="s">
        <v>388</v>
      </c>
      <c r="B382" s="2" t="s">
        <v>389</v>
      </c>
      <c r="C382" s="14">
        <f>426720+15300</f>
        <v>442020</v>
      </c>
      <c r="D382" s="14">
        <v>0</v>
      </c>
      <c r="E382" s="14">
        <v>0</v>
      </c>
      <c r="F382" s="14">
        <v>0</v>
      </c>
      <c r="G382" s="14">
        <v>0</v>
      </c>
      <c r="H382" s="59">
        <f t="shared" si="22"/>
        <v>442020</v>
      </c>
    </row>
    <row r="383" spans="1:8" s="7" customFormat="1" ht="15.75" x14ac:dyDescent="0.25">
      <c r="A383" s="41" t="s">
        <v>390</v>
      </c>
      <c r="B383" s="2" t="s">
        <v>391</v>
      </c>
      <c r="C383" s="14">
        <v>1548460</v>
      </c>
      <c r="D383" s="14">
        <v>0</v>
      </c>
      <c r="E383" s="14">
        <v>0</v>
      </c>
      <c r="F383" s="14">
        <v>0</v>
      </c>
      <c r="G383" s="14">
        <v>0</v>
      </c>
      <c r="H383" s="59">
        <f t="shared" si="22"/>
        <v>1548460</v>
      </c>
    </row>
    <row r="384" spans="1:8" s="7" customFormat="1" ht="15.75" x14ac:dyDescent="0.25">
      <c r="A384" s="41" t="s">
        <v>392</v>
      </c>
      <c r="B384" s="2" t="s">
        <v>393</v>
      </c>
      <c r="C384" s="14">
        <v>3666329</v>
      </c>
      <c r="D384" s="14">
        <v>0</v>
      </c>
      <c r="E384" s="14">
        <v>0</v>
      </c>
      <c r="F384" s="14">
        <v>0</v>
      </c>
      <c r="G384" s="14">
        <v>0</v>
      </c>
      <c r="H384" s="59">
        <f t="shared" si="22"/>
        <v>3666329</v>
      </c>
    </row>
    <row r="385" spans="1:8" s="7" customFormat="1" ht="15.75" x14ac:dyDescent="0.25">
      <c r="A385" s="41" t="s">
        <v>394</v>
      </c>
      <c r="B385" s="2" t="s">
        <v>395</v>
      </c>
      <c r="C385" s="14"/>
      <c r="D385" s="14">
        <v>0</v>
      </c>
      <c r="E385" s="14">
        <v>0</v>
      </c>
      <c r="F385" s="14">
        <v>420200</v>
      </c>
      <c r="G385" s="14">
        <v>0</v>
      </c>
      <c r="H385" s="59">
        <f t="shared" si="22"/>
        <v>420200</v>
      </c>
    </row>
    <row r="386" spans="1:8" s="7" customFormat="1" ht="15.75" x14ac:dyDescent="0.25">
      <c r="A386" s="41" t="s">
        <v>396</v>
      </c>
      <c r="B386" s="2" t="s">
        <v>397</v>
      </c>
      <c r="C386" s="14"/>
      <c r="D386" s="14">
        <v>0</v>
      </c>
      <c r="E386" s="14">
        <v>0</v>
      </c>
      <c r="F386" s="14">
        <v>289440</v>
      </c>
      <c r="G386" s="14">
        <v>0</v>
      </c>
      <c r="H386" s="59">
        <f t="shared" si="22"/>
        <v>289440</v>
      </c>
    </row>
    <row r="387" spans="1:8" s="7" customFormat="1" ht="15.75" x14ac:dyDescent="0.25">
      <c r="A387" s="41" t="s">
        <v>398</v>
      </c>
      <c r="B387" s="2" t="s">
        <v>399</v>
      </c>
      <c r="C387" s="14"/>
      <c r="D387" s="14">
        <v>0</v>
      </c>
      <c r="E387" s="14">
        <v>0</v>
      </c>
      <c r="F387" s="14">
        <v>289440</v>
      </c>
      <c r="G387" s="14">
        <v>0</v>
      </c>
      <c r="H387" s="59">
        <f t="shared" si="22"/>
        <v>289440</v>
      </c>
    </row>
    <row r="388" spans="1:8" s="7" customFormat="1" ht="15.75" x14ac:dyDescent="0.25">
      <c r="A388" s="41" t="s">
        <v>400</v>
      </c>
      <c r="B388" s="2" t="s">
        <v>401</v>
      </c>
      <c r="C388" s="14">
        <f>263620+35200</f>
        <v>298820</v>
      </c>
      <c r="D388" s="14">
        <v>0</v>
      </c>
      <c r="E388" s="14">
        <v>0</v>
      </c>
      <c r="F388" s="14">
        <v>0</v>
      </c>
      <c r="G388" s="14">
        <v>0</v>
      </c>
      <c r="H388" s="59">
        <f t="shared" si="22"/>
        <v>298820</v>
      </c>
    </row>
    <row r="389" spans="1:8" s="7" customFormat="1" ht="15.75" x14ac:dyDescent="0.25">
      <c r="A389" s="41" t="s">
        <v>402</v>
      </c>
      <c r="B389" s="2" t="s">
        <v>403</v>
      </c>
      <c r="C389" s="14">
        <f>263760+35200</f>
        <v>298960</v>
      </c>
      <c r="D389" s="14">
        <v>0</v>
      </c>
      <c r="E389" s="14">
        <v>0</v>
      </c>
      <c r="F389" s="14">
        <v>0</v>
      </c>
      <c r="G389" s="14">
        <v>0</v>
      </c>
      <c r="H389" s="59">
        <f t="shared" si="22"/>
        <v>298960</v>
      </c>
    </row>
    <row r="390" spans="1:8" s="7" customFormat="1" ht="15.75" x14ac:dyDescent="0.25">
      <c r="A390" s="41" t="s">
        <v>404</v>
      </c>
      <c r="B390" s="2" t="s">
        <v>405</v>
      </c>
      <c r="C390" s="14">
        <f>152060+5000</f>
        <v>157060</v>
      </c>
      <c r="D390" s="14">
        <v>0</v>
      </c>
      <c r="E390" s="14">
        <v>0</v>
      </c>
      <c r="F390" s="14">
        <v>0</v>
      </c>
      <c r="G390" s="14">
        <v>0</v>
      </c>
      <c r="H390" s="59">
        <f t="shared" si="22"/>
        <v>157060</v>
      </c>
    </row>
    <row r="391" spans="1:8" s="7" customFormat="1" ht="15.75" x14ac:dyDescent="0.25">
      <c r="A391" s="41" t="s">
        <v>406</v>
      </c>
      <c r="B391" s="2" t="s">
        <v>407</v>
      </c>
      <c r="C391" s="14"/>
      <c r="D391" s="14">
        <v>711760</v>
      </c>
      <c r="E391" s="14">
        <v>0</v>
      </c>
      <c r="F391" s="14">
        <v>0</v>
      </c>
      <c r="G391" s="14">
        <v>0</v>
      </c>
      <c r="H391" s="59">
        <f t="shared" si="22"/>
        <v>711760</v>
      </c>
    </row>
    <row r="392" spans="1:8" s="7" customFormat="1" ht="15.75" x14ac:dyDescent="0.25">
      <c r="A392" s="41" t="s">
        <v>408</v>
      </c>
      <c r="B392" s="2" t="s">
        <v>409</v>
      </c>
      <c r="C392" s="14">
        <f>1301315+12000</f>
        <v>1313315</v>
      </c>
      <c r="D392" s="14">
        <v>75385</v>
      </c>
      <c r="E392" s="14">
        <v>0</v>
      </c>
      <c r="F392" s="14">
        <v>0</v>
      </c>
      <c r="G392" s="14">
        <v>0</v>
      </c>
      <c r="H392" s="59">
        <f t="shared" si="22"/>
        <v>1388700</v>
      </c>
    </row>
    <row r="393" spans="1:8" s="7" customFormat="1" ht="15.75" x14ac:dyDescent="0.25">
      <c r="A393" s="41" t="s">
        <v>410</v>
      </c>
      <c r="B393" s="2" t="s">
        <v>411</v>
      </c>
      <c r="C393" s="14">
        <f>130920+4000</f>
        <v>134920</v>
      </c>
      <c r="D393" s="14">
        <v>0</v>
      </c>
      <c r="E393" s="14">
        <v>0</v>
      </c>
      <c r="F393" s="14">
        <v>0</v>
      </c>
      <c r="G393" s="14">
        <v>0</v>
      </c>
      <c r="H393" s="59">
        <f t="shared" si="22"/>
        <v>134920</v>
      </c>
    </row>
    <row r="394" spans="1:8" s="7" customFormat="1" ht="15.75" x14ac:dyDescent="0.25">
      <c r="A394" s="41" t="s">
        <v>412</v>
      </c>
      <c r="B394" s="2" t="s">
        <v>413</v>
      </c>
      <c r="C394" s="14">
        <f>1479452+5000</f>
        <v>1484452</v>
      </c>
      <c r="D394" s="14">
        <v>0</v>
      </c>
      <c r="E394" s="14">
        <v>0</v>
      </c>
      <c r="F394" s="14">
        <v>0</v>
      </c>
      <c r="G394" s="14">
        <v>0</v>
      </c>
      <c r="H394" s="59">
        <f t="shared" si="22"/>
        <v>1484452</v>
      </c>
    </row>
    <row r="395" spans="1:8" s="7" customFormat="1" ht="15.75" x14ac:dyDescent="0.25">
      <c r="A395" s="41" t="s">
        <v>414</v>
      </c>
      <c r="B395" s="2" t="s">
        <v>415</v>
      </c>
      <c r="C395" s="14"/>
      <c r="D395" s="14">
        <v>0</v>
      </c>
      <c r="E395" s="14">
        <v>0</v>
      </c>
      <c r="F395" s="14">
        <v>0</v>
      </c>
      <c r="G395" s="14">
        <v>0</v>
      </c>
      <c r="H395" s="59">
        <f t="shared" si="22"/>
        <v>0</v>
      </c>
    </row>
    <row r="396" spans="1:8" s="7" customFormat="1" ht="15.75" x14ac:dyDescent="0.25">
      <c r="A396" s="41" t="s">
        <v>416</v>
      </c>
      <c r="B396" s="2" t="s">
        <v>417</v>
      </c>
      <c r="C396" s="14">
        <v>60340</v>
      </c>
      <c r="D396" s="14">
        <v>0</v>
      </c>
      <c r="E396" s="14">
        <v>0</v>
      </c>
      <c r="F396" s="14">
        <v>0</v>
      </c>
      <c r="G396" s="14">
        <v>0</v>
      </c>
      <c r="H396" s="59">
        <f t="shared" si="22"/>
        <v>60340</v>
      </c>
    </row>
    <row r="397" spans="1:8" s="7" customFormat="1" ht="15.75" x14ac:dyDescent="0.25">
      <c r="A397" s="41" t="s">
        <v>418</v>
      </c>
      <c r="B397" s="2" t="s">
        <v>419</v>
      </c>
      <c r="C397" s="14">
        <f>131620+2000</f>
        <v>133620</v>
      </c>
      <c r="D397" s="14">
        <v>0</v>
      </c>
      <c r="E397" s="14">
        <v>0</v>
      </c>
      <c r="F397" s="14">
        <v>0</v>
      </c>
      <c r="G397" s="14">
        <v>0</v>
      </c>
      <c r="H397" s="59">
        <f t="shared" si="22"/>
        <v>133620</v>
      </c>
    </row>
    <row r="398" spans="1:8" s="7" customFormat="1" ht="15.75" x14ac:dyDescent="0.25">
      <c r="A398" s="41" t="s">
        <v>420</v>
      </c>
      <c r="B398" s="2" t="s">
        <v>626</v>
      </c>
      <c r="C398" s="14"/>
      <c r="D398" s="14">
        <v>0</v>
      </c>
      <c r="E398" s="14">
        <v>0</v>
      </c>
      <c r="F398" s="14">
        <v>0</v>
      </c>
      <c r="G398" s="14">
        <v>0</v>
      </c>
      <c r="H398" s="59">
        <f t="shared" si="22"/>
        <v>0</v>
      </c>
    </row>
    <row r="399" spans="1:8" s="7" customFormat="1" ht="15.75" x14ac:dyDescent="0.25">
      <c r="A399" s="41" t="s">
        <v>421</v>
      </c>
      <c r="B399" s="2" t="s">
        <v>422</v>
      </c>
      <c r="C399" s="14">
        <v>135000</v>
      </c>
      <c r="D399" s="14">
        <v>545920</v>
      </c>
      <c r="E399" s="14">
        <v>0</v>
      </c>
      <c r="F399" s="14">
        <v>0</v>
      </c>
      <c r="G399" s="14">
        <v>0</v>
      </c>
      <c r="H399" s="59">
        <f t="shared" si="22"/>
        <v>680920</v>
      </c>
    </row>
    <row r="400" spans="1:8" s="7" customFormat="1" ht="15.75" x14ac:dyDescent="0.25">
      <c r="A400" s="41" t="s">
        <v>423</v>
      </c>
      <c r="B400" s="2" t="s">
        <v>424</v>
      </c>
      <c r="C400" s="14">
        <v>135000</v>
      </c>
      <c r="D400" s="14">
        <v>545920</v>
      </c>
      <c r="E400" s="14">
        <v>0</v>
      </c>
      <c r="F400" s="14">
        <v>0</v>
      </c>
      <c r="G400" s="14">
        <v>0</v>
      </c>
      <c r="H400" s="59">
        <f t="shared" si="22"/>
        <v>680920</v>
      </c>
    </row>
    <row r="401" spans="1:8" s="7" customFormat="1" ht="15.75" x14ac:dyDescent="0.25">
      <c r="A401" s="41" t="s">
        <v>425</v>
      </c>
      <c r="B401" s="2" t="s">
        <v>426</v>
      </c>
      <c r="C401" s="14">
        <v>195000</v>
      </c>
      <c r="D401" s="14">
        <v>1608160</v>
      </c>
      <c r="E401" s="14">
        <v>0</v>
      </c>
      <c r="F401" s="14">
        <v>0</v>
      </c>
      <c r="G401" s="14">
        <v>0</v>
      </c>
      <c r="H401" s="59">
        <f t="shared" si="22"/>
        <v>1803160</v>
      </c>
    </row>
    <row r="402" spans="1:8" s="7" customFormat="1" ht="15.75" x14ac:dyDescent="0.25">
      <c r="A402" s="41" t="s">
        <v>427</v>
      </c>
      <c r="B402" s="2" t="s">
        <v>428</v>
      </c>
      <c r="C402" s="14"/>
      <c r="D402" s="14">
        <v>135000</v>
      </c>
      <c r="E402" s="14">
        <v>546220</v>
      </c>
      <c r="F402" s="14">
        <v>0</v>
      </c>
      <c r="G402" s="14">
        <v>0</v>
      </c>
      <c r="H402" s="59">
        <f t="shared" si="22"/>
        <v>681220</v>
      </c>
    </row>
    <row r="403" spans="1:8" s="7" customFormat="1" ht="15.75" x14ac:dyDescent="0.25">
      <c r="A403" s="41" t="s">
        <v>429</v>
      </c>
      <c r="B403" s="2" t="s">
        <v>430</v>
      </c>
      <c r="C403" s="14"/>
      <c r="D403" s="14">
        <v>135000</v>
      </c>
      <c r="E403" s="14">
        <v>546220</v>
      </c>
      <c r="F403" s="14">
        <v>0</v>
      </c>
      <c r="G403" s="14">
        <v>0</v>
      </c>
      <c r="H403" s="59">
        <f t="shared" si="22"/>
        <v>681220</v>
      </c>
    </row>
    <row r="404" spans="1:8" s="7" customFormat="1" ht="15.75" x14ac:dyDescent="0.25">
      <c r="A404" s="41" t="s">
        <v>431</v>
      </c>
      <c r="B404" s="2" t="s">
        <v>432</v>
      </c>
      <c r="C404" s="14"/>
      <c r="D404" s="14">
        <v>195000</v>
      </c>
      <c r="E404" s="14">
        <v>1670260</v>
      </c>
      <c r="F404" s="14">
        <v>0</v>
      </c>
      <c r="G404" s="14">
        <v>0</v>
      </c>
      <c r="H404" s="59">
        <f t="shared" si="22"/>
        <v>1865260</v>
      </c>
    </row>
    <row r="405" spans="1:8" s="7" customFormat="1" ht="15.75" x14ac:dyDescent="0.25">
      <c r="A405" s="41"/>
      <c r="B405" s="2" t="s">
        <v>947</v>
      </c>
      <c r="C405" s="14"/>
      <c r="D405" s="14">
        <v>88440</v>
      </c>
      <c r="E405" s="14">
        <v>0</v>
      </c>
      <c r="F405" s="14">
        <v>-394390</v>
      </c>
      <c r="G405" s="14">
        <v>0</v>
      </c>
      <c r="H405" s="59">
        <f>SUM(C405:G405)</f>
        <v>-305950</v>
      </c>
    </row>
    <row r="406" spans="1:8" s="7" customFormat="1" ht="15.75" x14ac:dyDescent="0.25">
      <c r="A406" s="51"/>
      <c r="B406" s="51" t="s">
        <v>190</v>
      </c>
      <c r="C406" s="52">
        <f t="shared" ref="C406:G406" si="23">SUM(C373:C405)</f>
        <v>24087000</v>
      </c>
      <c r="D406" s="52">
        <f t="shared" si="23"/>
        <v>14861248</v>
      </c>
      <c r="E406" s="52">
        <f t="shared" si="23"/>
        <v>12589080</v>
      </c>
      <c r="F406" s="52">
        <f t="shared" si="23"/>
        <v>1754501</v>
      </c>
      <c r="G406" s="52">
        <f t="shared" si="23"/>
        <v>0</v>
      </c>
      <c r="H406" s="52">
        <f>SUM(C406:G406)</f>
        <v>53291829</v>
      </c>
    </row>
    <row r="407" spans="1:8" s="7" customFormat="1" ht="15.75" x14ac:dyDescent="0.25">
      <c r="A407" s="34"/>
      <c r="B407" s="34"/>
      <c r="C407" s="35"/>
      <c r="D407" s="35"/>
      <c r="E407" s="35"/>
      <c r="F407" s="35"/>
      <c r="G407" s="35"/>
      <c r="H407" s="35"/>
    </row>
    <row r="408" spans="1:8" s="7" customFormat="1" ht="18" x14ac:dyDescent="0.25">
      <c r="A408" s="36"/>
      <c r="B408" s="36" t="s">
        <v>174</v>
      </c>
      <c r="C408" s="37">
        <f t="shared" ref="C408:G408" si="24">C340+C370+C406</f>
        <v>26087000</v>
      </c>
      <c r="D408" s="37">
        <f t="shared" si="24"/>
        <v>16861248</v>
      </c>
      <c r="E408" s="37">
        <f t="shared" si="24"/>
        <v>14489080</v>
      </c>
      <c r="F408" s="37">
        <f t="shared" si="24"/>
        <v>8454501</v>
      </c>
      <c r="G408" s="37">
        <f t="shared" si="24"/>
        <v>6500000</v>
      </c>
      <c r="H408" s="37">
        <f>SUM(C408:G408)</f>
        <v>72391829</v>
      </c>
    </row>
    <row r="409" spans="1:8" s="7" customFormat="1" ht="15" x14ac:dyDescent="0.2">
      <c r="A409" s="41"/>
      <c r="B409" s="2"/>
      <c r="C409" s="14"/>
      <c r="D409" s="14"/>
      <c r="E409" s="14"/>
      <c r="F409" s="14"/>
      <c r="G409" s="14"/>
      <c r="H409" s="14"/>
    </row>
    <row r="410" spans="1:8" s="7" customFormat="1" ht="15.75" x14ac:dyDescent="0.25">
      <c r="A410" s="41"/>
      <c r="B410" s="13" t="s">
        <v>81</v>
      </c>
      <c r="C410" s="54"/>
      <c r="D410" s="54"/>
      <c r="E410" s="54"/>
      <c r="F410" s="54"/>
      <c r="G410" s="54"/>
      <c r="H410" s="40"/>
    </row>
    <row r="411" spans="1:8" s="55" customFormat="1" ht="15.75" x14ac:dyDescent="0.25">
      <c r="A411" s="41" t="s">
        <v>692</v>
      </c>
      <c r="B411" s="5" t="s">
        <v>845</v>
      </c>
      <c r="C411" s="14"/>
      <c r="D411" s="14">
        <v>0</v>
      </c>
      <c r="E411" s="14">
        <v>0</v>
      </c>
      <c r="F411" s="14">
        <v>0</v>
      </c>
      <c r="G411" s="14">
        <v>0</v>
      </c>
      <c r="H411" s="59">
        <f t="shared" ref="H411:H418" si="25">SUM(C411:G411)</f>
        <v>0</v>
      </c>
    </row>
    <row r="412" spans="1:8" s="55" customFormat="1" ht="15.75" x14ac:dyDescent="0.25">
      <c r="A412" s="41" t="s">
        <v>693</v>
      </c>
      <c r="B412" s="5" t="s">
        <v>846</v>
      </c>
      <c r="C412" s="14"/>
      <c r="D412" s="14">
        <v>0</v>
      </c>
      <c r="E412" s="14">
        <v>0</v>
      </c>
      <c r="F412" s="14">
        <v>0</v>
      </c>
      <c r="G412" s="14">
        <v>0</v>
      </c>
      <c r="H412" s="59">
        <f t="shared" si="25"/>
        <v>0</v>
      </c>
    </row>
    <row r="413" spans="1:8" s="55" customFormat="1" ht="15.75" x14ac:dyDescent="0.25">
      <c r="A413" s="12" t="s">
        <v>694</v>
      </c>
      <c r="B413" s="5" t="s">
        <v>847</v>
      </c>
      <c r="C413" s="14"/>
      <c r="D413" s="14">
        <v>0</v>
      </c>
      <c r="E413" s="14">
        <v>0</v>
      </c>
      <c r="F413" s="14">
        <v>0</v>
      </c>
      <c r="G413" s="14">
        <v>0</v>
      </c>
      <c r="H413" s="59">
        <f t="shared" si="25"/>
        <v>0</v>
      </c>
    </row>
    <row r="414" spans="1:8" s="55" customFormat="1" ht="15.75" x14ac:dyDescent="0.25">
      <c r="A414" s="12" t="s">
        <v>695</v>
      </c>
      <c r="B414" s="5" t="s">
        <v>842</v>
      </c>
      <c r="C414" s="14"/>
      <c r="D414" s="14">
        <v>0</v>
      </c>
      <c r="E414" s="14">
        <v>0</v>
      </c>
      <c r="F414" s="14">
        <v>0</v>
      </c>
      <c r="G414" s="14">
        <v>0</v>
      </c>
      <c r="H414" s="59">
        <f t="shared" si="25"/>
        <v>0</v>
      </c>
    </row>
    <row r="415" spans="1:8" s="55" customFormat="1" ht="15.75" x14ac:dyDescent="0.25">
      <c r="A415" s="12" t="s">
        <v>696</v>
      </c>
      <c r="B415" s="5" t="s">
        <v>843</v>
      </c>
      <c r="C415" s="14"/>
      <c r="D415" s="14">
        <v>0</v>
      </c>
      <c r="E415" s="14">
        <v>0</v>
      </c>
      <c r="F415" s="14">
        <v>0</v>
      </c>
      <c r="G415" s="14">
        <v>0</v>
      </c>
      <c r="H415" s="59">
        <f t="shared" si="25"/>
        <v>0</v>
      </c>
    </row>
    <row r="416" spans="1:8" s="55" customFormat="1" ht="15.75" x14ac:dyDescent="0.25">
      <c r="A416" s="12" t="s">
        <v>697</v>
      </c>
      <c r="B416" s="5" t="s">
        <v>844</v>
      </c>
      <c r="C416" s="14"/>
      <c r="D416" s="14">
        <v>0</v>
      </c>
      <c r="E416" s="14">
        <v>0</v>
      </c>
      <c r="F416" s="14">
        <v>0</v>
      </c>
      <c r="G416" s="14">
        <v>0</v>
      </c>
      <c r="H416" s="59">
        <f t="shared" si="25"/>
        <v>0</v>
      </c>
    </row>
    <row r="417" spans="1:8" s="55" customFormat="1" ht="15.75" x14ac:dyDescent="0.25">
      <c r="A417" s="12" t="s">
        <v>698</v>
      </c>
      <c r="B417" s="5" t="s">
        <v>699</v>
      </c>
      <c r="C417" s="14"/>
      <c r="D417" s="14">
        <v>0</v>
      </c>
      <c r="E417" s="14">
        <v>0</v>
      </c>
      <c r="F417" s="14">
        <v>0</v>
      </c>
      <c r="G417" s="14">
        <v>0</v>
      </c>
      <c r="H417" s="59">
        <f t="shared" si="25"/>
        <v>0</v>
      </c>
    </row>
    <row r="418" spans="1:8" s="55" customFormat="1" ht="15.75" x14ac:dyDescent="0.25">
      <c r="A418" s="12" t="s">
        <v>700</v>
      </c>
      <c r="B418" s="5" t="s">
        <v>848</v>
      </c>
      <c r="C418" s="14"/>
      <c r="D418" s="14">
        <v>0</v>
      </c>
      <c r="E418" s="14">
        <v>0</v>
      </c>
      <c r="F418" s="14">
        <v>0</v>
      </c>
      <c r="G418" s="14">
        <v>0</v>
      </c>
      <c r="H418" s="59">
        <f t="shared" si="25"/>
        <v>0</v>
      </c>
    </row>
    <row r="419" spans="1:8" s="55" customFormat="1" ht="15.75" x14ac:dyDescent="0.25">
      <c r="A419" s="12" t="s">
        <v>83</v>
      </c>
      <c r="B419" s="5" t="s">
        <v>84</v>
      </c>
      <c r="C419" s="14"/>
      <c r="D419" s="14">
        <v>0</v>
      </c>
      <c r="E419" s="14">
        <v>0</v>
      </c>
      <c r="F419" s="8">
        <v>3200000</v>
      </c>
      <c r="G419" s="14">
        <v>0</v>
      </c>
      <c r="H419" s="59">
        <f t="shared" ref="H419:H433" si="26">SUM(C419:G419)</f>
        <v>3200000</v>
      </c>
    </row>
    <row r="420" spans="1:8" s="55" customFormat="1" ht="15.75" x14ac:dyDescent="0.25">
      <c r="A420" s="12" t="s">
        <v>705</v>
      </c>
      <c r="B420" s="5" t="s">
        <v>849</v>
      </c>
      <c r="C420" s="14"/>
      <c r="D420" s="14">
        <v>0</v>
      </c>
      <c r="E420" s="14">
        <v>0</v>
      </c>
      <c r="F420" s="14">
        <v>0</v>
      </c>
      <c r="G420" s="14">
        <v>0</v>
      </c>
      <c r="H420" s="59">
        <f t="shared" si="26"/>
        <v>0</v>
      </c>
    </row>
    <row r="421" spans="1:8" s="55" customFormat="1" ht="15.75" x14ac:dyDescent="0.25">
      <c r="A421" s="12" t="s">
        <v>688</v>
      </c>
      <c r="B421" s="5" t="s">
        <v>850</v>
      </c>
      <c r="C421" s="14"/>
      <c r="D421" s="14">
        <v>0</v>
      </c>
      <c r="E421" s="14">
        <v>0</v>
      </c>
      <c r="F421" s="54">
        <v>0</v>
      </c>
      <c r="G421" s="14">
        <v>0</v>
      </c>
      <c r="H421" s="59">
        <v>0</v>
      </c>
    </row>
    <row r="422" spans="1:8" s="55" customFormat="1" ht="15.75" x14ac:dyDescent="0.25">
      <c r="A422" s="12"/>
      <c r="B422" s="5" t="s">
        <v>85</v>
      </c>
      <c r="C422" s="14"/>
      <c r="D422" s="14">
        <v>0</v>
      </c>
      <c r="E422" s="14">
        <v>0</v>
      </c>
      <c r="F422" s="8">
        <v>375000</v>
      </c>
      <c r="G422" s="14">
        <v>0</v>
      </c>
      <c r="H422" s="59">
        <f t="shared" si="26"/>
        <v>375000</v>
      </c>
    </row>
    <row r="423" spans="1:8" s="55" customFormat="1" ht="15.75" x14ac:dyDescent="0.25">
      <c r="A423" s="12"/>
      <c r="B423" s="5" t="s">
        <v>86</v>
      </c>
      <c r="C423" s="14"/>
      <c r="D423" s="8">
        <v>75000</v>
      </c>
      <c r="E423" s="8">
        <v>150000</v>
      </c>
      <c r="F423" s="14">
        <v>0</v>
      </c>
      <c r="G423" s="14">
        <v>0</v>
      </c>
      <c r="H423" s="59">
        <f t="shared" si="26"/>
        <v>225000</v>
      </c>
    </row>
    <row r="424" spans="1:8" s="55" customFormat="1" ht="15.75" x14ac:dyDescent="0.25">
      <c r="A424" s="12"/>
      <c r="B424" s="5" t="s">
        <v>87</v>
      </c>
      <c r="C424" s="14"/>
      <c r="D424" s="14">
        <v>0</v>
      </c>
      <c r="E424" s="14">
        <v>0</v>
      </c>
      <c r="F424" s="8">
        <v>225000</v>
      </c>
      <c r="G424" s="14">
        <v>0</v>
      </c>
      <c r="H424" s="59">
        <f t="shared" si="26"/>
        <v>225000</v>
      </c>
    </row>
    <row r="425" spans="1:8" s="55" customFormat="1" ht="15.75" x14ac:dyDescent="0.25">
      <c r="A425" s="12"/>
      <c r="B425" s="5" t="s">
        <v>88</v>
      </c>
      <c r="C425" s="14"/>
      <c r="D425" s="14">
        <v>0</v>
      </c>
      <c r="E425" s="14">
        <v>0</v>
      </c>
      <c r="F425" s="8">
        <v>600000</v>
      </c>
      <c r="G425" s="14">
        <v>0</v>
      </c>
      <c r="H425" s="59">
        <f t="shared" si="26"/>
        <v>600000</v>
      </c>
    </row>
    <row r="426" spans="1:8" s="55" customFormat="1" ht="15.75" x14ac:dyDescent="0.25">
      <c r="A426" s="12"/>
      <c r="B426" s="5" t="s">
        <v>89</v>
      </c>
      <c r="C426" s="14"/>
      <c r="D426" s="14">
        <v>0</v>
      </c>
      <c r="E426" s="14">
        <v>0</v>
      </c>
      <c r="F426" s="8">
        <v>450000</v>
      </c>
      <c r="G426" s="14">
        <v>0</v>
      </c>
      <c r="H426" s="59">
        <f t="shared" si="26"/>
        <v>450000</v>
      </c>
    </row>
    <row r="427" spans="1:8" s="55" customFormat="1" ht="15.75" x14ac:dyDescent="0.25">
      <c r="A427" s="12"/>
      <c r="B427" s="5" t="s">
        <v>90</v>
      </c>
      <c r="C427" s="14"/>
      <c r="D427" s="14">
        <v>0</v>
      </c>
      <c r="E427" s="14">
        <v>0</v>
      </c>
      <c r="F427" s="8">
        <v>225000</v>
      </c>
      <c r="G427" s="14">
        <v>0</v>
      </c>
      <c r="H427" s="59">
        <f t="shared" si="26"/>
        <v>225000</v>
      </c>
    </row>
    <row r="428" spans="1:8" s="55" customFormat="1" ht="15.75" x14ac:dyDescent="0.25">
      <c r="A428" s="12"/>
      <c r="B428" s="5" t="s">
        <v>91</v>
      </c>
      <c r="C428" s="14"/>
      <c r="D428" s="14">
        <v>0</v>
      </c>
      <c r="E428" s="14">
        <v>0</v>
      </c>
      <c r="F428" s="8">
        <v>100000</v>
      </c>
      <c r="G428" s="14">
        <v>0</v>
      </c>
      <c r="H428" s="59">
        <f t="shared" si="26"/>
        <v>100000</v>
      </c>
    </row>
    <row r="429" spans="1:8" s="55" customFormat="1" ht="15.75" x14ac:dyDescent="0.25">
      <c r="A429" s="12"/>
      <c r="B429" s="5" t="s">
        <v>92</v>
      </c>
      <c r="C429" s="14"/>
      <c r="D429" s="14">
        <v>0</v>
      </c>
      <c r="E429" s="14">
        <v>0</v>
      </c>
      <c r="F429" s="8">
        <v>150000</v>
      </c>
      <c r="G429" s="14">
        <v>0</v>
      </c>
      <c r="H429" s="59">
        <f t="shared" si="26"/>
        <v>150000</v>
      </c>
    </row>
    <row r="430" spans="1:8" s="55" customFormat="1" ht="15.75" x14ac:dyDescent="0.25">
      <c r="A430" s="12"/>
      <c r="B430" s="5" t="s">
        <v>350</v>
      </c>
      <c r="C430" s="14"/>
      <c r="D430" s="14">
        <v>0</v>
      </c>
      <c r="E430" s="14">
        <v>0</v>
      </c>
      <c r="F430" s="8">
        <v>300000</v>
      </c>
      <c r="G430" s="14">
        <v>0</v>
      </c>
      <c r="H430" s="59">
        <f t="shared" si="26"/>
        <v>300000</v>
      </c>
    </row>
    <row r="431" spans="1:8" s="55" customFormat="1" ht="15.75" x14ac:dyDescent="0.25">
      <c r="A431" s="12"/>
      <c r="B431" s="5" t="s">
        <v>93</v>
      </c>
      <c r="C431" s="14"/>
      <c r="D431" s="14">
        <v>0</v>
      </c>
      <c r="E431" s="14">
        <v>0</v>
      </c>
      <c r="F431" s="8">
        <v>300000</v>
      </c>
      <c r="G431" s="14">
        <v>0</v>
      </c>
      <c r="H431" s="59">
        <f t="shared" si="26"/>
        <v>300000</v>
      </c>
    </row>
    <row r="432" spans="1:8" s="55" customFormat="1" ht="15.75" x14ac:dyDescent="0.25">
      <c r="A432" s="12" t="s">
        <v>752</v>
      </c>
      <c r="B432" s="5" t="s">
        <v>753</v>
      </c>
      <c r="C432" s="14"/>
      <c r="D432" s="14">
        <v>0</v>
      </c>
      <c r="E432" s="14">
        <v>0</v>
      </c>
      <c r="F432" s="14">
        <v>0</v>
      </c>
      <c r="G432" s="54">
        <v>0</v>
      </c>
      <c r="H432" s="59">
        <f t="shared" si="26"/>
        <v>0</v>
      </c>
    </row>
    <row r="433" spans="1:8" s="7" customFormat="1" ht="15.75" x14ac:dyDescent="0.25">
      <c r="A433" s="51"/>
      <c r="B433" s="51" t="s">
        <v>368</v>
      </c>
      <c r="C433" s="52">
        <f t="shared" ref="C433:G433" si="27">SUM(C411:C432)</f>
        <v>0</v>
      </c>
      <c r="D433" s="52">
        <f t="shared" si="27"/>
        <v>75000</v>
      </c>
      <c r="E433" s="52">
        <f t="shared" si="27"/>
        <v>150000</v>
      </c>
      <c r="F433" s="52">
        <f t="shared" si="27"/>
        <v>5925000</v>
      </c>
      <c r="G433" s="52">
        <f t="shared" si="27"/>
        <v>0</v>
      </c>
      <c r="H433" s="52">
        <f t="shared" si="26"/>
        <v>6150000</v>
      </c>
    </row>
    <row r="434" spans="1:8" s="55" customFormat="1" ht="15.75" x14ac:dyDescent="0.25">
      <c r="A434" s="12"/>
      <c r="B434" s="5"/>
      <c r="C434" s="8"/>
      <c r="D434" s="8"/>
      <c r="E434" s="8"/>
      <c r="F434" s="8"/>
      <c r="G434" s="8"/>
      <c r="H434" s="4"/>
    </row>
    <row r="435" spans="1:8" s="55" customFormat="1" ht="15.75" x14ac:dyDescent="0.25">
      <c r="A435" s="12"/>
      <c r="B435" s="10" t="s">
        <v>94</v>
      </c>
      <c r="C435" s="8"/>
      <c r="D435" s="8"/>
      <c r="E435" s="8"/>
      <c r="F435" s="8"/>
      <c r="G435" s="8"/>
      <c r="H435" s="4"/>
    </row>
    <row r="436" spans="1:8" s="55" customFormat="1" ht="15.75" x14ac:dyDescent="0.25">
      <c r="A436" s="12" t="s">
        <v>349</v>
      </c>
      <c r="B436" s="5" t="s">
        <v>355</v>
      </c>
      <c r="C436" s="9"/>
      <c r="D436" s="14">
        <v>0</v>
      </c>
      <c r="E436" s="14">
        <v>0</v>
      </c>
      <c r="F436" s="14">
        <v>0</v>
      </c>
      <c r="G436" s="54">
        <v>0</v>
      </c>
      <c r="H436" s="59">
        <f t="shared" ref="H436:H463" si="28">SUM(C436:G436)</f>
        <v>0</v>
      </c>
    </row>
    <row r="437" spans="1:8" s="55" customFormat="1" ht="15.75" x14ac:dyDescent="0.25">
      <c r="A437" s="12" t="s">
        <v>349</v>
      </c>
      <c r="B437" s="5" t="s">
        <v>95</v>
      </c>
      <c r="C437" s="9"/>
      <c r="D437" s="14">
        <v>0</v>
      </c>
      <c r="E437" s="14">
        <v>0</v>
      </c>
      <c r="F437" s="14">
        <v>0</v>
      </c>
      <c r="G437" s="54">
        <v>0</v>
      </c>
      <c r="H437" s="59">
        <f t="shared" si="28"/>
        <v>0</v>
      </c>
    </row>
    <row r="438" spans="1:8" s="55" customFormat="1" ht="15.75" x14ac:dyDescent="0.25">
      <c r="A438" s="12" t="s">
        <v>349</v>
      </c>
      <c r="B438" s="5" t="s">
        <v>96</v>
      </c>
      <c r="C438" s="14"/>
      <c r="D438" s="9">
        <v>150000</v>
      </c>
      <c r="E438" s="14">
        <v>0</v>
      </c>
      <c r="F438" s="14">
        <v>0</v>
      </c>
      <c r="G438" s="54">
        <v>0</v>
      </c>
      <c r="H438" s="59">
        <f t="shared" si="28"/>
        <v>150000</v>
      </c>
    </row>
    <row r="439" spans="1:8" s="55" customFormat="1" ht="15.75" x14ac:dyDescent="0.25">
      <c r="A439" s="12" t="s">
        <v>672</v>
      </c>
      <c r="B439" s="5" t="s">
        <v>99</v>
      </c>
      <c r="C439" s="9">
        <v>3221076</v>
      </c>
      <c r="D439" s="14">
        <v>0</v>
      </c>
      <c r="E439" s="14">
        <v>0</v>
      </c>
      <c r="F439" s="14">
        <v>0</v>
      </c>
      <c r="G439" s="54">
        <v>0</v>
      </c>
      <c r="H439" s="59">
        <f t="shared" si="28"/>
        <v>3221076</v>
      </c>
    </row>
    <row r="440" spans="1:8" s="55" customFormat="1" ht="15.75" x14ac:dyDescent="0.25">
      <c r="A440" s="12" t="s">
        <v>701</v>
      </c>
      <c r="B440" s="5" t="s">
        <v>751</v>
      </c>
      <c r="C440" s="14">
        <f>727013+58000</f>
        <v>785013</v>
      </c>
      <c r="D440" s="14">
        <v>0</v>
      </c>
      <c r="E440" s="14">
        <v>0</v>
      </c>
      <c r="F440" s="14">
        <v>0</v>
      </c>
      <c r="G440" s="54">
        <v>0</v>
      </c>
      <c r="H440" s="59">
        <f>SUM(C440:G440)</f>
        <v>785013</v>
      </c>
    </row>
    <row r="441" spans="1:8" s="55" customFormat="1" ht="15.75" x14ac:dyDescent="0.25">
      <c r="A441" s="12"/>
      <c r="B441" s="5" t="s">
        <v>351</v>
      </c>
      <c r="C441" s="14"/>
      <c r="D441" s="14">
        <v>0</v>
      </c>
      <c r="E441" s="14">
        <v>0</v>
      </c>
      <c r="F441" s="14">
        <v>0</v>
      </c>
      <c r="G441" s="9">
        <v>5200000</v>
      </c>
      <c r="H441" s="59">
        <f t="shared" si="28"/>
        <v>5200000</v>
      </c>
    </row>
    <row r="442" spans="1:8" s="55" customFormat="1" ht="15.75" x14ac:dyDescent="0.25">
      <c r="A442" s="12" t="s">
        <v>673</v>
      </c>
      <c r="B442" s="5" t="s">
        <v>809</v>
      </c>
      <c r="C442" s="9">
        <f>1850000+1200000</f>
        <v>3050000</v>
      </c>
      <c r="D442" s="14"/>
      <c r="E442" s="14"/>
      <c r="F442" s="14"/>
      <c r="G442" s="9"/>
      <c r="H442" s="59">
        <f t="shared" si="28"/>
        <v>3050000</v>
      </c>
    </row>
    <row r="443" spans="1:8" s="55" customFormat="1" ht="15.75" x14ac:dyDescent="0.25">
      <c r="A443" s="12" t="s">
        <v>745</v>
      </c>
      <c r="B443" s="5" t="s">
        <v>747</v>
      </c>
      <c r="C443" s="8">
        <f>166375+18625</f>
        <v>185000</v>
      </c>
      <c r="D443" s="14">
        <v>0</v>
      </c>
      <c r="E443" s="14">
        <v>0</v>
      </c>
      <c r="F443" s="14">
        <v>0</v>
      </c>
      <c r="G443" s="14">
        <v>0</v>
      </c>
      <c r="H443" s="59">
        <f t="shared" si="28"/>
        <v>185000</v>
      </c>
    </row>
    <row r="444" spans="1:8" s="55" customFormat="1" ht="15.75" x14ac:dyDescent="0.25">
      <c r="A444" s="12" t="s">
        <v>743</v>
      </c>
      <c r="B444" s="5" t="s">
        <v>748</v>
      </c>
      <c r="C444" s="8">
        <f>166375+18625</f>
        <v>185000</v>
      </c>
      <c r="D444" s="14">
        <v>0</v>
      </c>
      <c r="E444" s="14">
        <v>0</v>
      </c>
      <c r="F444" s="14">
        <v>0</v>
      </c>
      <c r="G444" s="14">
        <v>0</v>
      </c>
      <c r="H444" s="59">
        <f>SUM(C444:G444)</f>
        <v>185000</v>
      </c>
    </row>
    <row r="445" spans="1:8" s="55" customFormat="1" ht="15.75" x14ac:dyDescent="0.25">
      <c r="A445" s="12" t="s">
        <v>744</v>
      </c>
      <c r="B445" s="5" t="s">
        <v>749</v>
      </c>
      <c r="C445" s="8">
        <f>166375+18625</f>
        <v>185000</v>
      </c>
      <c r="D445" s="14">
        <v>0</v>
      </c>
      <c r="E445" s="14">
        <v>0</v>
      </c>
      <c r="F445" s="14">
        <v>0</v>
      </c>
      <c r="G445" s="14">
        <v>0</v>
      </c>
      <c r="H445" s="59">
        <f>SUM(C445:G445)</f>
        <v>185000</v>
      </c>
    </row>
    <row r="446" spans="1:8" s="55" customFormat="1" ht="15.75" x14ac:dyDescent="0.25">
      <c r="A446" s="12" t="s">
        <v>746</v>
      </c>
      <c r="B446" s="5" t="s">
        <v>750</v>
      </c>
      <c r="C446" s="8">
        <f>166375+18625</f>
        <v>185000</v>
      </c>
      <c r="D446" s="14">
        <v>0</v>
      </c>
      <c r="E446" s="14">
        <v>0</v>
      </c>
      <c r="F446" s="14">
        <v>0</v>
      </c>
      <c r="G446" s="14">
        <v>0</v>
      </c>
      <c r="H446" s="59">
        <f>SUM(C446:G446)</f>
        <v>185000</v>
      </c>
    </row>
    <row r="447" spans="1:8" s="55" customFormat="1" ht="15.75" x14ac:dyDescent="0.25">
      <c r="A447" s="12" t="s">
        <v>671</v>
      </c>
      <c r="B447" s="5" t="s">
        <v>106</v>
      </c>
      <c r="C447" s="8">
        <v>272568</v>
      </c>
      <c r="D447" s="14">
        <v>0</v>
      </c>
      <c r="E447" s="14">
        <v>0</v>
      </c>
      <c r="F447" s="14">
        <v>0</v>
      </c>
      <c r="G447" s="14">
        <v>0</v>
      </c>
      <c r="H447" s="59">
        <f t="shared" si="28"/>
        <v>272568</v>
      </c>
    </row>
    <row r="448" spans="1:8" s="55" customFormat="1" ht="15.75" x14ac:dyDescent="0.25">
      <c r="A448" s="12"/>
      <c r="B448" s="5" t="s">
        <v>352</v>
      </c>
      <c r="C448" s="54"/>
      <c r="D448" s="14">
        <v>0</v>
      </c>
      <c r="E448" s="14">
        <v>0</v>
      </c>
      <c r="F448" s="14">
        <v>0</v>
      </c>
      <c r="G448" s="9">
        <v>250000</v>
      </c>
      <c r="H448" s="59">
        <f t="shared" si="28"/>
        <v>250000</v>
      </c>
    </row>
    <row r="449" spans="1:8" s="55" customFormat="1" ht="15.75" x14ac:dyDescent="0.25">
      <c r="A449" s="12"/>
      <c r="B449" s="5" t="s">
        <v>353</v>
      </c>
      <c r="C449" s="54"/>
      <c r="D449" s="14">
        <v>0</v>
      </c>
      <c r="E449" s="14">
        <v>0</v>
      </c>
      <c r="F449" s="14">
        <v>0</v>
      </c>
      <c r="G449" s="9">
        <v>115000</v>
      </c>
      <c r="H449" s="59">
        <f t="shared" si="28"/>
        <v>115000</v>
      </c>
    </row>
    <row r="450" spans="1:8" s="55" customFormat="1" ht="15.75" x14ac:dyDescent="0.25">
      <c r="A450" s="12"/>
      <c r="B450" s="5" t="s">
        <v>354</v>
      </c>
      <c r="C450" s="14"/>
      <c r="D450" s="54">
        <v>0</v>
      </c>
      <c r="E450" s="54">
        <v>0</v>
      </c>
      <c r="F450" s="54">
        <v>0</v>
      </c>
      <c r="G450" s="9">
        <v>500000</v>
      </c>
      <c r="H450" s="59">
        <f t="shared" si="28"/>
        <v>500000</v>
      </c>
    </row>
    <row r="451" spans="1:8" s="55" customFormat="1" ht="15.75" x14ac:dyDescent="0.25">
      <c r="A451" s="12"/>
      <c r="B451" s="5" t="s">
        <v>97</v>
      </c>
      <c r="C451" s="8"/>
      <c r="D451" s="14">
        <v>0</v>
      </c>
      <c r="E451" s="14">
        <v>0</v>
      </c>
      <c r="F451" s="14">
        <v>0</v>
      </c>
      <c r="G451" s="14">
        <v>0</v>
      </c>
      <c r="H451" s="59">
        <f t="shared" si="28"/>
        <v>0</v>
      </c>
    </row>
    <row r="452" spans="1:8" s="55" customFormat="1" ht="15.75" x14ac:dyDescent="0.25">
      <c r="A452" s="12"/>
      <c r="B452" s="5" t="s">
        <v>98</v>
      </c>
      <c r="C452" s="54"/>
      <c r="D452" s="9">
        <v>75000</v>
      </c>
      <c r="E452" s="9">
        <v>150000</v>
      </c>
      <c r="F452" s="9">
        <v>75000</v>
      </c>
      <c r="G452" s="14">
        <v>0</v>
      </c>
      <c r="H452" s="59">
        <f t="shared" si="28"/>
        <v>300000</v>
      </c>
    </row>
    <row r="453" spans="1:8" s="55" customFormat="1" ht="15.75" x14ac:dyDescent="0.25">
      <c r="A453" s="12"/>
      <c r="B453" s="5" t="s">
        <v>356</v>
      </c>
      <c r="C453" s="8"/>
      <c r="D453" s="14">
        <v>0</v>
      </c>
      <c r="E453" s="14">
        <v>0</v>
      </c>
      <c r="F453" s="14">
        <v>0</v>
      </c>
      <c r="G453" s="8">
        <v>288000</v>
      </c>
      <c r="H453" s="59">
        <f t="shared" si="28"/>
        <v>288000</v>
      </c>
    </row>
    <row r="454" spans="1:8" s="55" customFormat="1" ht="15.75" x14ac:dyDescent="0.25">
      <c r="A454" s="12"/>
      <c r="B454" s="5" t="s">
        <v>357</v>
      </c>
      <c r="C454" s="8"/>
      <c r="D454" s="14">
        <v>0</v>
      </c>
      <c r="E454" s="14">
        <v>0</v>
      </c>
      <c r="F454" s="14">
        <v>0</v>
      </c>
      <c r="G454" s="14">
        <v>0</v>
      </c>
      <c r="H454" s="59">
        <f t="shared" si="28"/>
        <v>0</v>
      </c>
    </row>
    <row r="455" spans="1:8" s="55" customFormat="1" ht="15.75" x14ac:dyDescent="0.25">
      <c r="A455" s="12"/>
      <c r="B455" s="5" t="s">
        <v>358</v>
      </c>
      <c r="C455" s="8"/>
      <c r="D455" s="14">
        <v>0</v>
      </c>
      <c r="E455" s="14">
        <v>0</v>
      </c>
      <c r="F455" s="14">
        <v>0</v>
      </c>
      <c r="G455" s="14">
        <v>0</v>
      </c>
      <c r="H455" s="59">
        <f t="shared" si="28"/>
        <v>0</v>
      </c>
    </row>
    <row r="456" spans="1:8" s="55" customFormat="1" ht="15.75" x14ac:dyDescent="0.25">
      <c r="A456" s="12"/>
      <c r="B456" s="5" t="s">
        <v>359</v>
      </c>
      <c r="C456" s="14"/>
      <c r="D456" s="14">
        <v>0</v>
      </c>
      <c r="E456" s="14">
        <v>0</v>
      </c>
      <c r="F456" s="14">
        <v>0</v>
      </c>
      <c r="G456" s="8">
        <v>1000000</v>
      </c>
      <c r="H456" s="59">
        <f t="shared" si="28"/>
        <v>1000000</v>
      </c>
    </row>
    <row r="457" spans="1:8" s="55" customFormat="1" ht="15.75" x14ac:dyDescent="0.25">
      <c r="A457" s="12"/>
      <c r="B457" s="5" t="s">
        <v>360</v>
      </c>
      <c r="C457" s="14"/>
      <c r="D457" s="14">
        <v>0</v>
      </c>
      <c r="E457" s="14">
        <v>0</v>
      </c>
      <c r="F457" s="14">
        <v>0</v>
      </c>
      <c r="G457" s="8">
        <v>250000</v>
      </c>
      <c r="H457" s="59">
        <f t="shared" si="28"/>
        <v>250000</v>
      </c>
    </row>
    <row r="458" spans="1:8" s="55" customFormat="1" ht="15.75" x14ac:dyDescent="0.25">
      <c r="A458" s="12"/>
      <c r="B458" s="5" t="s">
        <v>361</v>
      </c>
      <c r="C458" s="14"/>
      <c r="D458" s="14">
        <v>0</v>
      </c>
      <c r="E458" s="14">
        <v>0</v>
      </c>
      <c r="F458" s="14">
        <v>0</v>
      </c>
      <c r="G458" s="8">
        <v>300000</v>
      </c>
      <c r="H458" s="59">
        <f t="shared" si="28"/>
        <v>300000</v>
      </c>
    </row>
    <row r="459" spans="1:8" s="55" customFormat="1" ht="15.75" x14ac:dyDescent="0.25">
      <c r="A459" s="12"/>
      <c r="B459" s="5" t="s">
        <v>362</v>
      </c>
      <c r="C459" s="14"/>
      <c r="D459" s="14">
        <v>0</v>
      </c>
      <c r="E459" s="14">
        <v>0</v>
      </c>
      <c r="F459" s="14">
        <v>0</v>
      </c>
      <c r="G459" s="8">
        <v>300000</v>
      </c>
      <c r="H459" s="59">
        <f t="shared" si="28"/>
        <v>300000</v>
      </c>
    </row>
    <row r="460" spans="1:8" s="55" customFormat="1" ht="15.75" x14ac:dyDescent="0.25">
      <c r="A460" s="12"/>
      <c r="B460" s="5" t="s">
        <v>363</v>
      </c>
      <c r="C460" s="14"/>
      <c r="D460" s="14">
        <v>0</v>
      </c>
      <c r="E460" s="14">
        <v>0</v>
      </c>
      <c r="F460" s="14">
        <v>0</v>
      </c>
      <c r="G460" s="8">
        <v>280000</v>
      </c>
      <c r="H460" s="59">
        <f t="shared" si="28"/>
        <v>280000</v>
      </c>
    </row>
    <row r="461" spans="1:8" s="55" customFormat="1" ht="15.75" x14ac:dyDescent="0.25">
      <c r="A461" s="12"/>
      <c r="B461" s="5" t="s">
        <v>364</v>
      </c>
      <c r="C461" s="14"/>
      <c r="D461" s="14">
        <v>0</v>
      </c>
      <c r="E461" s="14">
        <v>0</v>
      </c>
      <c r="F461" s="14">
        <v>0</v>
      </c>
      <c r="G461" s="8">
        <v>400000</v>
      </c>
      <c r="H461" s="59">
        <f t="shared" si="28"/>
        <v>400000</v>
      </c>
    </row>
    <row r="462" spans="1:8" s="55" customFormat="1" ht="15.75" x14ac:dyDescent="0.25">
      <c r="A462" s="12" t="s">
        <v>754</v>
      </c>
      <c r="B462" s="5" t="s">
        <v>755</v>
      </c>
      <c r="C462" s="14"/>
      <c r="D462" s="14">
        <v>0</v>
      </c>
      <c r="E462" s="14">
        <v>0</v>
      </c>
      <c r="F462" s="14">
        <v>0</v>
      </c>
      <c r="G462" s="54">
        <v>0</v>
      </c>
      <c r="H462" s="59">
        <f t="shared" si="28"/>
        <v>0</v>
      </c>
    </row>
    <row r="463" spans="1:8" s="7" customFormat="1" ht="15.75" x14ac:dyDescent="0.25">
      <c r="A463" s="51"/>
      <c r="B463" s="51" t="s">
        <v>369</v>
      </c>
      <c r="C463" s="52">
        <f t="shared" ref="C463:G463" si="29">SUM(C436:C462)</f>
        <v>8068657</v>
      </c>
      <c r="D463" s="52">
        <f t="shared" si="29"/>
        <v>225000</v>
      </c>
      <c r="E463" s="52">
        <f t="shared" si="29"/>
        <v>150000</v>
      </c>
      <c r="F463" s="52">
        <f t="shared" si="29"/>
        <v>75000</v>
      </c>
      <c r="G463" s="52">
        <f t="shared" si="29"/>
        <v>8883000</v>
      </c>
      <c r="H463" s="52">
        <f t="shared" si="28"/>
        <v>17401657</v>
      </c>
    </row>
    <row r="464" spans="1:8" s="55" customFormat="1" ht="15.75" x14ac:dyDescent="0.25">
      <c r="A464" s="12"/>
      <c r="B464" s="5"/>
      <c r="C464" s="8"/>
      <c r="D464" s="8"/>
      <c r="E464" s="8"/>
      <c r="F464" s="8"/>
      <c r="G464" s="8"/>
      <c r="H464" s="4"/>
    </row>
    <row r="465" spans="1:12" s="55" customFormat="1" ht="15.75" x14ac:dyDescent="0.25">
      <c r="A465" s="12"/>
      <c r="B465" s="10" t="s">
        <v>370</v>
      </c>
      <c r="C465" s="8"/>
      <c r="D465" s="8"/>
      <c r="E465" s="8"/>
      <c r="F465" s="8"/>
      <c r="G465" s="8"/>
      <c r="H465" s="4"/>
    </row>
    <row r="466" spans="1:12" s="55" customFormat="1" ht="15.75" x14ac:dyDescent="0.25">
      <c r="A466" s="12" t="s">
        <v>691</v>
      </c>
      <c r="B466" s="5" t="s">
        <v>851</v>
      </c>
      <c r="C466" s="14"/>
      <c r="D466" s="14">
        <v>0</v>
      </c>
      <c r="E466" s="14">
        <v>0</v>
      </c>
      <c r="F466" s="14">
        <v>0</v>
      </c>
      <c r="G466" s="14">
        <v>0</v>
      </c>
      <c r="H466" s="59">
        <f t="shared" ref="H466:H484" si="30">SUM(C466:G466)</f>
        <v>0</v>
      </c>
    </row>
    <row r="467" spans="1:12" s="55" customFormat="1" ht="15.75" x14ac:dyDescent="0.25">
      <c r="A467" s="12" t="s">
        <v>773</v>
      </c>
      <c r="B467" s="5" t="s">
        <v>774</v>
      </c>
      <c r="C467" s="14"/>
      <c r="D467" s="14">
        <v>0</v>
      </c>
      <c r="E467" s="14">
        <v>0</v>
      </c>
      <c r="F467" s="14">
        <v>0</v>
      </c>
      <c r="G467" s="14">
        <v>0</v>
      </c>
      <c r="H467" s="59">
        <f>SUM(C467:G467)</f>
        <v>0</v>
      </c>
    </row>
    <row r="468" spans="1:12" s="55" customFormat="1" ht="15.75" x14ac:dyDescent="0.25">
      <c r="A468" s="12" t="s">
        <v>702</v>
      </c>
      <c r="B468" s="5" t="s">
        <v>852</v>
      </c>
      <c r="C468" s="14"/>
      <c r="D468" s="14">
        <v>0</v>
      </c>
      <c r="E468" s="14">
        <v>0</v>
      </c>
      <c r="F468" s="14">
        <v>0</v>
      </c>
      <c r="G468" s="14">
        <v>0</v>
      </c>
      <c r="H468" s="59">
        <f t="shared" si="30"/>
        <v>0</v>
      </c>
    </row>
    <row r="469" spans="1:12" s="55" customFormat="1" ht="15.75" x14ac:dyDescent="0.25">
      <c r="A469" s="12" t="s">
        <v>703</v>
      </c>
      <c r="B469" s="5" t="s">
        <v>853</v>
      </c>
      <c r="C469" s="14"/>
      <c r="D469" s="14">
        <v>0</v>
      </c>
      <c r="E469" s="14">
        <v>0</v>
      </c>
      <c r="F469" s="14">
        <v>0</v>
      </c>
      <c r="G469" s="14">
        <v>0</v>
      </c>
      <c r="H469" s="59">
        <f t="shared" si="30"/>
        <v>0</v>
      </c>
    </row>
    <row r="470" spans="1:12" s="55" customFormat="1" ht="15.75" x14ac:dyDescent="0.25">
      <c r="A470" s="12" t="s">
        <v>704</v>
      </c>
      <c r="B470" s="5" t="s">
        <v>854</v>
      </c>
      <c r="C470" s="14"/>
      <c r="D470" s="14">
        <v>0</v>
      </c>
      <c r="E470" s="14">
        <v>0</v>
      </c>
      <c r="F470" s="14">
        <v>0</v>
      </c>
      <c r="G470" s="14">
        <v>0</v>
      </c>
      <c r="H470" s="59">
        <f t="shared" si="30"/>
        <v>0</v>
      </c>
    </row>
    <row r="471" spans="1:12" s="55" customFormat="1" ht="15.75" x14ac:dyDescent="0.25">
      <c r="A471" s="12" t="s">
        <v>222</v>
      </c>
      <c r="B471" s="5" t="s">
        <v>104</v>
      </c>
      <c r="C471" s="54">
        <f>2182322-137250</f>
        <v>2045072</v>
      </c>
      <c r="D471" s="14">
        <v>0</v>
      </c>
      <c r="E471" s="14">
        <v>0</v>
      </c>
      <c r="F471" s="14">
        <v>0</v>
      </c>
      <c r="G471" s="14">
        <v>0</v>
      </c>
      <c r="H471" s="59">
        <f t="shared" si="30"/>
        <v>2045072</v>
      </c>
    </row>
    <row r="472" spans="1:12" s="55" customFormat="1" ht="15.75" x14ac:dyDescent="0.25">
      <c r="A472" s="12" t="s">
        <v>100</v>
      </c>
      <c r="B472" s="5" t="s">
        <v>855</v>
      </c>
      <c r="C472" s="8">
        <v>217184</v>
      </c>
      <c r="D472" s="14">
        <v>0</v>
      </c>
      <c r="E472" s="14">
        <v>0</v>
      </c>
      <c r="F472" s="14">
        <v>0</v>
      </c>
      <c r="G472" s="14">
        <v>0</v>
      </c>
      <c r="H472" s="59">
        <f t="shared" si="30"/>
        <v>217184</v>
      </c>
    </row>
    <row r="473" spans="1:12" s="55" customFormat="1" ht="15.75" x14ac:dyDescent="0.25">
      <c r="A473" s="12" t="s">
        <v>101</v>
      </c>
      <c r="B473" s="5" t="s">
        <v>102</v>
      </c>
      <c r="C473" s="14"/>
      <c r="D473" s="8">
        <v>3000000</v>
      </c>
      <c r="E473" s="14">
        <v>0</v>
      </c>
      <c r="F473" s="14">
        <v>0</v>
      </c>
      <c r="G473" s="14">
        <v>0</v>
      </c>
      <c r="H473" s="59">
        <f t="shared" si="30"/>
        <v>3000000</v>
      </c>
    </row>
    <row r="474" spans="1:12" s="55" customFormat="1" ht="15.75" x14ac:dyDescent="0.25">
      <c r="A474" s="12" t="s">
        <v>103</v>
      </c>
      <c r="B474" s="5" t="s">
        <v>856</v>
      </c>
      <c r="C474" s="14"/>
      <c r="D474" s="8">
        <v>0</v>
      </c>
      <c r="E474" s="14">
        <v>0</v>
      </c>
      <c r="F474" s="14">
        <v>0</v>
      </c>
      <c r="G474" s="14">
        <v>0</v>
      </c>
      <c r="H474" s="59">
        <f t="shared" si="30"/>
        <v>0</v>
      </c>
    </row>
    <row r="475" spans="1:12" s="55" customFormat="1" ht="15.75" x14ac:dyDescent="0.25">
      <c r="A475" s="12" t="s">
        <v>367</v>
      </c>
      <c r="B475" s="5" t="s">
        <v>371</v>
      </c>
      <c r="C475" s="14"/>
      <c r="D475" s="8">
        <v>1150000</v>
      </c>
      <c r="E475" s="14">
        <v>0</v>
      </c>
      <c r="F475" s="14">
        <v>0</v>
      </c>
      <c r="G475" s="14">
        <v>0</v>
      </c>
      <c r="H475" s="59">
        <f t="shared" si="30"/>
        <v>1150000</v>
      </c>
    </row>
    <row r="476" spans="1:12" s="55" customFormat="1" ht="15.75" x14ac:dyDescent="0.25">
      <c r="A476" s="12" t="s">
        <v>367</v>
      </c>
      <c r="B476" s="5" t="s">
        <v>105</v>
      </c>
      <c r="C476" s="14"/>
      <c r="D476" s="8">
        <v>0</v>
      </c>
      <c r="E476" s="14">
        <v>2700000</v>
      </c>
      <c r="F476" s="14">
        <v>2500000</v>
      </c>
      <c r="G476" s="14">
        <v>0</v>
      </c>
      <c r="H476" s="59">
        <f t="shared" si="30"/>
        <v>5200000</v>
      </c>
    </row>
    <row r="477" spans="1:12" s="55" customFormat="1" ht="15.75" x14ac:dyDescent="0.25">
      <c r="A477" s="12" t="s">
        <v>367</v>
      </c>
      <c r="B477" s="5" t="s">
        <v>107</v>
      </c>
      <c r="C477" s="14"/>
      <c r="D477" s="54">
        <v>0</v>
      </c>
      <c r="E477" s="9">
        <v>1100000</v>
      </c>
      <c r="F477" s="14">
        <v>0</v>
      </c>
      <c r="G477" s="14">
        <v>0</v>
      </c>
      <c r="H477" s="59">
        <f t="shared" si="30"/>
        <v>1100000</v>
      </c>
    </row>
    <row r="478" spans="1:12" s="55" customFormat="1" ht="15.75" x14ac:dyDescent="0.25">
      <c r="A478" s="12" t="s">
        <v>367</v>
      </c>
      <c r="B478" s="42" t="s">
        <v>802</v>
      </c>
      <c r="C478" s="29"/>
      <c r="D478" s="29">
        <v>0</v>
      </c>
      <c r="E478" s="29">
        <v>0</v>
      </c>
      <c r="F478" s="29">
        <v>5000000</v>
      </c>
      <c r="G478" s="29">
        <v>6000000</v>
      </c>
      <c r="H478" s="29">
        <f t="shared" si="30"/>
        <v>11000000</v>
      </c>
      <c r="I478" s="7"/>
      <c r="J478" s="7"/>
      <c r="K478" s="7"/>
      <c r="L478" s="7"/>
    </row>
    <row r="479" spans="1:12" s="55" customFormat="1" ht="15.75" x14ac:dyDescent="0.25">
      <c r="A479" s="12"/>
      <c r="B479" s="42" t="s">
        <v>935</v>
      </c>
      <c r="C479" s="29"/>
      <c r="D479" s="29">
        <v>176000</v>
      </c>
      <c r="E479" s="29">
        <v>0</v>
      </c>
      <c r="F479" s="29">
        <v>0</v>
      </c>
      <c r="G479" s="29">
        <v>0</v>
      </c>
      <c r="H479" s="29">
        <f t="shared" ref="H479" si="31">SUM(C479:G479)</f>
        <v>176000</v>
      </c>
      <c r="I479" s="7"/>
      <c r="J479" s="7"/>
      <c r="K479" s="7"/>
      <c r="L479" s="7"/>
    </row>
    <row r="480" spans="1:12" s="55" customFormat="1" ht="15.75" x14ac:dyDescent="0.25">
      <c r="A480" s="12"/>
      <c r="B480" s="5" t="s">
        <v>365</v>
      </c>
      <c r="C480" s="9"/>
      <c r="D480" s="14">
        <v>0</v>
      </c>
      <c r="E480" s="54">
        <v>0</v>
      </c>
      <c r="F480" s="14">
        <v>0</v>
      </c>
      <c r="G480" s="14">
        <v>0</v>
      </c>
      <c r="H480" s="59">
        <f t="shared" si="30"/>
        <v>0</v>
      </c>
    </row>
    <row r="481" spans="1:12" s="7" customFormat="1" ht="15.75" x14ac:dyDescent="0.25">
      <c r="A481" s="12"/>
      <c r="B481" s="2" t="s">
        <v>366</v>
      </c>
      <c r="C481" s="14"/>
      <c r="D481" s="9">
        <v>0</v>
      </c>
      <c r="E481" s="14">
        <v>360000</v>
      </c>
      <c r="F481" s="14">
        <v>0</v>
      </c>
      <c r="G481" s="14">
        <v>0</v>
      </c>
      <c r="H481" s="59">
        <f t="shared" si="30"/>
        <v>360000</v>
      </c>
      <c r="I481" s="55"/>
      <c r="J481" s="55"/>
      <c r="K481" s="55"/>
      <c r="L481" s="55"/>
    </row>
    <row r="482" spans="1:12" s="55" customFormat="1" ht="15.75" x14ac:dyDescent="0.25">
      <c r="A482" s="12" t="s">
        <v>200</v>
      </c>
      <c r="B482" s="5" t="s">
        <v>765</v>
      </c>
      <c r="C482" s="14">
        <v>1797087</v>
      </c>
      <c r="D482" s="8">
        <v>1300000</v>
      </c>
      <c r="E482" s="14">
        <v>1400000</v>
      </c>
      <c r="F482" s="14">
        <v>1500000</v>
      </c>
      <c r="G482" s="14">
        <v>1600000</v>
      </c>
      <c r="H482" s="59">
        <f t="shared" si="30"/>
        <v>7597087</v>
      </c>
    </row>
    <row r="483" spans="1:12" s="55" customFormat="1" ht="15.75" x14ac:dyDescent="0.25">
      <c r="A483" s="12" t="s">
        <v>766</v>
      </c>
      <c r="B483" s="5" t="s">
        <v>767</v>
      </c>
      <c r="C483" s="14"/>
      <c r="D483" s="14">
        <v>0</v>
      </c>
      <c r="E483" s="14">
        <v>0</v>
      </c>
      <c r="F483" s="14">
        <v>0</v>
      </c>
      <c r="G483" s="14">
        <v>0</v>
      </c>
      <c r="H483" s="59">
        <f t="shared" si="30"/>
        <v>0</v>
      </c>
    </row>
    <row r="484" spans="1:12" s="7" customFormat="1" ht="15.75" x14ac:dyDescent="0.25">
      <c r="A484" s="51"/>
      <c r="B484" s="51" t="s">
        <v>370</v>
      </c>
      <c r="C484" s="52">
        <f t="shared" ref="C484:G484" si="32">SUM(C466:C483)</f>
        <v>4059343</v>
      </c>
      <c r="D484" s="52">
        <f t="shared" si="32"/>
        <v>5626000</v>
      </c>
      <c r="E484" s="52">
        <f t="shared" si="32"/>
        <v>5560000</v>
      </c>
      <c r="F484" s="52">
        <f t="shared" si="32"/>
        <v>9000000</v>
      </c>
      <c r="G484" s="52">
        <f t="shared" si="32"/>
        <v>7600000</v>
      </c>
      <c r="H484" s="52">
        <f t="shared" si="30"/>
        <v>31845343</v>
      </c>
    </row>
    <row r="485" spans="1:12" s="55" customFormat="1" ht="15.75" x14ac:dyDescent="0.25">
      <c r="A485" s="12"/>
      <c r="B485" s="5"/>
      <c r="C485" s="8"/>
      <c r="D485" s="8"/>
      <c r="E485" s="8"/>
      <c r="F485" s="8"/>
      <c r="G485" s="8"/>
      <c r="H485" s="4"/>
    </row>
    <row r="486" spans="1:12" s="55" customFormat="1" ht="15.75" x14ac:dyDescent="0.25">
      <c r="A486" s="12" t="s">
        <v>179</v>
      </c>
      <c r="B486" s="5" t="s">
        <v>180</v>
      </c>
      <c r="C486" s="8">
        <v>8117000</v>
      </c>
      <c r="D486" s="8">
        <v>7141983</v>
      </c>
      <c r="E486" s="8">
        <v>7353561</v>
      </c>
      <c r="F486" s="8">
        <v>7350000</v>
      </c>
      <c r="G486" s="8">
        <v>7570500</v>
      </c>
      <c r="H486" s="59">
        <f>SUM(C486:G486)</f>
        <v>37533044</v>
      </c>
    </row>
    <row r="487" spans="1:12" s="55" customFormat="1" ht="15.75" x14ac:dyDescent="0.25">
      <c r="A487" s="12" t="s">
        <v>181</v>
      </c>
      <c r="B487" s="5" t="s">
        <v>182</v>
      </c>
      <c r="C487" s="8">
        <v>8018000</v>
      </c>
      <c r="D487" s="8">
        <v>9522643</v>
      </c>
      <c r="E487" s="8">
        <v>9962890</v>
      </c>
      <c r="F487" s="8">
        <v>10287011</v>
      </c>
      <c r="G487" s="8">
        <v>10595621</v>
      </c>
      <c r="H487" s="59">
        <f>SUM(C487:G487)</f>
        <v>48386165</v>
      </c>
    </row>
    <row r="488" spans="1:12" s="7" customFormat="1" ht="15.75" x14ac:dyDescent="0.25">
      <c r="A488" s="12"/>
      <c r="B488" s="51" t="s">
        <v>372</v>
      </c>
      <c r="C488" s="52">
        <f t="shared" ref="C488:G488" si="33">SUM(C486:C487)</f>
        <v>16135000</v>
      </c>
      <c r="D488" s="52">
        <f t="shared" si="33"/>
        <v>16664626</v>
      </c>
      <c r="E488" s="52">
        <f t="shared" si="33"/>
        <v>17316451</v>
      </c>
      <c r="F488" s="52">
        <f t="shared" si="33"/>
        <v>17637011</v>
      </c>
      <c r="G488" s="52">
        <f t="shared" si="33"/>
        <v>18166121</v>
      </c>
      <c r="H488" s="52">
        <f>SUM(C488:G488)</f>
        <v>85919209</v>
      </c>
    </row>
    <row r="489" spans="1:12" s="55" customFormat="1" ht="15.75" x14ac:dyDescent="0.25">
      <c r="A489" s="12"/>
      <c r="B489" s="5"/>
      <c r="C489" s="8"/>
      <c r="D489" s="8"/>
      <c r="E489" s="8"/>
      <c r="F489" s="8"/>
      <c r="G489" s="8"/>
      <c r="H489" s="4"/>
    </row>
    <row r="490" spans="1:12" s="7" customFormat="1" ht="15.75" x14ac:dyDescent="0.25">
      <c r="A490" s="65" t="s">
        <v>640</v>
      </c>
      <c r="B490" s="64" t="s">
        <v>229</v>
      </c>
      <c r="C490" s="52">
        <v>5001000</v>
      </c>
      <c r="D490" s="52">
        <v>5000000</v>
      </c>
      <c r="E490" s="52">
        <v>5000000</v>
      </c>
      <c r="F490" s="52">
        <v>4000000</v>
      </c>
      <c r="G490" s="52">
        <v>0</v>
      </c>
      <c r="H490" s="52">
        <f>SUM(C490:G490)</f>
        <v>19001000</v>
      </c>
    </row>
    <row r="491" spans="1:12" ht="15.75" x14ac:dyDescent="0.25">
      <c r="A491" s="12"/>
      <c r="B491" s="5"/>
      <c r="C491" s="8"/>
      <c r="D491" s="8"/>
      <c r="E491" s="8"/>
      <c r="F491" s="8"/>
      <c r="G491" s="8"/>
      <c r="H491" s="4"/>
    </row>
    <row r="492" spans="1:12" s="7" customFormat="1" ht="18" x14ac:dyDescent="0.25">
      <c r="A492" s="23"/>
      <c r="B492" s="23" t="s">
        <v>263</v>
      </c>
      <c r="C492" s="24">
        <f t="shared" ref="C492:G492" si="34">C433+C463+C484+C488+C490</f>
        <v>33264000</v>
      </c>
      <c r="D492" s="24">
        <f t="shared" si="34"/>
        <v>27590626</v>
      </c>
      <c r="E492" s="24">
        <f t="shared" si="34"/>
        <v>28176451</v>
      </c>
      <c r="F492" s="24">
        <f t="shared" si="34"/>
        <v>36637011</v>
      </c>
      <c r="G492" s="24">
        <f t="shared" si="34"/>
        <v>34649121</v>
      </c>
      <c r="H492" s="24">
        <f>SUM(C492:G492)</f>
        <v>160317209</v>
      </c>
    </row>
    <row r="493" spans="1:12" s="7" customFormat="1" ht="15.75" x14ac:dyDescent="0.25">
      <c r="A493" s="2"/>
      <c r="B493" s="2"/>
      <c r="C493" s="9"/>
      <c r="D493" s="9"/>
      <c r="E493" s="9"/>
      <c r="F493" s="9"/>
      <c r="G493" s="9"/>
      <c r="H493" s="18"/>
    </row>
    <row r="494" spans="1:12" ht="15.75" x14ac:dyDescent="0.25">
      <c r="A494" s="12"/>
      <c r="B494" s="10" t="s">
        <v>230</v>
      </c>
      <c r="C494" s="8"/>
      <c r="D494" s="8"/>
      <c r="E494" s="8"/>
      <c r="F494" s="8"/>
      <c r="G494" s="8"/>
      <c r="H494" s="4"/>
    </row>
    <row r="495" spans="1:12" s="7" customFormat="1" ht="15.75" x14ac:dyDescent="0.25">
      <c r="A495" s="12"/>
      <c r="B495" s="2" t="s">
        <v>118</v>
      </c>
      <c r="C495" s="54">
        <v>531196</v>
      </c>
      <c r="D495" s="9">
        <v>3301000</v>
      </c>
      <c r="E495" s="9">
        <v>2390000</v>
      </c>
      <c r="F495" s="54">
        <v>0</v>
      </c>
      <c r="G495" s="9">
        <v>5000000</v>
      </c>
      <c r="H495" s="59">
        <f t="shared" ref="H495:H555" si="35">SUM(C495:G495)</f>
        <v>11222196</v>
      </c>
    </row>
    <row r="496" spans="1:12" s="7" customFormat="1" ht="15.75" x14ac:dyDescent="0.25">
      <c r="A496" s="12" t="s">
        <v>690</v>
      </c>
      <c r="B496" s="2" t="s">
        <v>857</v>
      </c>
      <c r="C496" s="54"/>
      <c r="D496" s="54">
        <v>0</v>
      </c>
      <c r="E496" s="54">
        <v>0</v>
      </c>
      <c r="F496" s="54">
        <v>0</v>
      </c>
      <c r="G496" s="54">
        <v>0</v>
      </c>
      <c r="H496" s="59">
        <f t="shared" si="35"/>
        <v>0</v>
      </c>
    </row>
    <row r="497" spans="1:8" s="7" customFormat="1" ht="15.75" x14ac:dyDescent="0.25">
      <c r="A497" s="12" t="s">
        <v>202</v>
      </c>
      <c r="B497" s="2" t="s">
        <v>120</v>
      </c>
      <c r="C497" s="54"/>
      <c r="D497" s="54">
        <v>0</v>
      </c>
      <c r="E497" s="54">
        <v>0</v>
      </c>
      <c r="F497" s="54">
        <v>0</v>
      </c>
      <c r="G497" s="54">
        <v>0</v>
      </c>
      <c r="H497" s="59">
        <f t="shared" si="35"/>
        <v>0</v>
      </c>
    </row>
    <row r="498" spans="1:8" s="7" customFormat="1" ht="15.75" x14ac:dyDescent="0.25">
      <c r="A498" s="12" t="s">
        <v>204</v>
      </c>
      <c r="B498" s="2" t="s">
        <v>121</v>
      </c>
      <c r="C498" s="54"/>
      <c r="D498" s="54">
        <v>0</v>
      </c>
      <c r="E498" s="54">
        <v>0</v>
      </c>
      <c r="F498" s="54">
        <v>0</v>
      </c>
      <c r="G498" s="54">
        <v>0</v>
      </c>
      <c r="H498" s="59">
        <f t="shared" si="35"/>
        <v>0</v>
      </c>
    </row>
    <row r="499" spans="1:8" s="7" customFormat="1" ht="15.75" x14ac:dyDescent="0.25">
      <c r="A499" s="12" t="s">
        <v>205</v>
      </c>
      <c r="B499" s="2" t="s">
        <v>437</v>
      </c>
      <c r="C499" s="54"/>
      <c r="D499" s="54">
        <v>0</v>
      </c>
      <c r="E499" s="54">
        <v>0</v>
      </c>
      <c r="F499" s="54">
        <v>0</v>
      </c>
      <c r="G499" s="54">
        <v>0</v>
      </c>
      <c r="H499" s="59">
        <f t="shared" si="35"/>
        <v>0</v>
      </c>
    </row>
    <row r="500" spans="1:8" s="7" customFormat="1" ht="15.75" x14ac:dyDescent="0.25">
      <c r="A500" s="12" t="s">
        <v>206</v>
      </c>
      <c r="B500" s="2" t="s">
        <v>122</v>
      </c>
      <c r="C500" s="54"/>
      <c r="D500" s="54">
        <v>0</v>
      </c>
      <c r="E500" s="54">
        <v>0</v>
      </c>
      <c r="F500" s="54">
        <v>0</v>
      </c>
      <c r="G500" s="54">
        <v>0</v>
      </c>
      <c r="H500" s="59">
        <f t="shared" si="35"/>
        <v>0</v>
      </c>
    </row>
    <row r="501" spans="1:8" s="7" customFormat="1" ht="15.75" x14ac:dyDescent="0.25">
      <c r="A501" s="12" t="s">
        <v>209</v>
      </c>
      <c r="B501" s="2" t="s">
        <v>442</v>
      </c>
      <c r="C501" s="8">
        <v>125000</v>
      </c>
      <c r="D501" s="54">
        <v>0</v>
      </c>
      <c r="E501" s="54">
        <v>0</v>
      </c>
      <c r="F501" s="54">
        <v>0</v>
      </c>
      <c r="G501" s="54">
        <v>0</v>
      </c>
      <c r="H501" s="59">
        <f t="shared" si="35"/>
        <v>125000</v>
      </c>
    </row>
    <row r="502" spans="1:8" s="7" customFormat="1" ht="15.75" x14ac:dyDescent="0.25">
      <c r="A502" s="12" t="s">
        <v>210</v>
      </c>
      <c r="B502" s="2" t="s">
        <v>434</v>
      </c>
      <c r="C502" s="54"/>
      <c r="D502" s="54">
        <v>0</v>
      </c>
      <c r="E502" s="54">
        <v>0</v>
      </c>
      <c r="F502" s="54">
        <v>0</v>
      </c>
      <c r="G502" s="54">
        <v>0</v>
      </c>
      <c r="H502" s="59">
        <f t="shared" si="35"/>
        <v>0</v>
      </c>
    </row>
    <row r="503" spans="1:8" s="7" customFormat="1" ht="15.75" x14ac:dyDescent="0.25">
      <c r="A503" s="12" t="s">
        <v>231</v>
      </c>
      <c r="B503" s="2" t="s">
        <v>438</v>
      </c>
      <c r="C503" s="54"/>
      <c r="D503" s="54">
        <v>0</v>
      </c>
      <c r="E503" s="54">
        <v>0</v>
      </c>
      <c r="F503" s="54">
        <v>0</v>
      </c>
      <c r="G503" s="54">
        <v>0</v>
      </c>
      <c r="H503" s="59">
        <f t="shared" si="35"/>
        <v>0</v>
      </c>
    </row>
    <row r="504" spans="1:8" s="7" customFormat="1" ht="15.75" x14ac:dyDescent="0.25">
      <c r="A504" s="12" t="s">
        <v>221</v>
      </c>
      <c r="B504" s="2" t="s">
        <v>670</v>
      </c>
      <c r="C504" s="54"/>
      <c r="D504" s="54">
        <v>0</v>
      </c>
      <c r="E504" s="54">
        <v>0</v>
      </c>
      <c r="F504" s="54">
        <v>0</v>
      </c>
      <c r="G504" s="54">
        <v>0</v>
      </c>
      <c r="H504" s="59">
        <f t="shared" si="35"/>
        <v>0</v>
      </c>
    </row>
    <row r="505" spans="1:8" s="7" customFormat="1" ht="15.75" x14ac:dyDescent="0.25">
      <c r="A505" s="12" t="s">
        <v>211</v>
      </c>
      <c r="B505" s="2" t="s">
        <v>756</v>
      </c>
      <c r="C505" s="54">
        <v>125000</v>
      </c>
      <c r="D505" s="54">
        <v>0</v>
      </c>
      <c r="E505" s="54">
        <v>0</v>
      </c>
      <c r="F505" s="54">
        <v>0</v>
      </c>
      <c r="G505" s="54">
        <v>0</v>
      </c>
      <c r="H505" s="59">
        <f t="shared" si="35"/>
        <v>125000</v>
      </c>
    </row>
    <row r="506" spans="1:8" s="7" customFormat="1" ht="15.75" x14ac:dyDescent="0.25">
      <c r="A506" s="12" t="s">
        <v>212</v>
      </c>
      <c r="B506" s="2" t="s">
        <v>757</v>
      </c>
      <c r="C506" s="54"/>
      <c r="D506" s="54">
        <v>0</v>
      </c>
      <c r="E506" s="54">
        <v>0</v>
      </c>
      <c r="F506" s="54">
        <v>0</v>
      </c>
      <c r="G506" s="54">
        <v>0</v>
      </c>
      <c r="H506" s="59">
        <f t="shared" si="35"/>
        <v>0</v>
      </c>
    </row>
    <row r="507" spans="1:8" s="7" customFormat="1" ht="15.75" x14ac:dyDescent="0.25">
      <c r="A507" s="12" t="s">
        <v>213</v>
      </c>
      <c r="B507" s="2" t="s">
        <v>148</v>
      </c>
      <c r="C507" s="8">
        <v>250000</v>
      </c>
      <c r="D507" s="54">
        <v>0</v>
      </c>
      <c r="E507" s="54">
        <v>0</v>
      </c>
      <c r="F507" s="54">
        <v>0</v>
      </c>
      <c r="G507" s="54">
        <v>0</v>
      </c>
      <c r="H507" s="59">
        <f t="shared" si="35"/>
        <v>250000</v>
      </c>
    </row>
    <row r="508" spans="1:8" s="7" customFormat="1" ht="15.75" x14ac:dyDescent="0.25">
      <c r="A508" s="12" t="s">
        <v>214</v>
      </c>
      <c r="B508" s="2" t="s">
        <v>126</v>
      </c>
      <c r="C508" s="54"/>
      <c r="D508" s="54">
        <v>0</v>
      </c>
      <c r="E508" s="54">
        <v>0</v>
      </c>
      <c r="F508" s="54">
        <v>0</v>
      </c>
      <c r="G508" s="54">
        <v>0</v>
      </c>
      <c r="H508" s="59">
        <f t="shared" si="35"/>
        <v>0</v>
      </c>
    </row>
    <row r="509" spans="1:8" s="7" customFormat="1" ht="15.75" x14ac:dyDescent="0.25">
      <c r="A509" s="12" t="s">
        <v>215</v>
      </c>
      <c r="B509" s="2" t="s">
        <v>149</v>
      </c>
      <c r="C509" s="54"/>
      <c r="D509" s="54">
        <v>0</v>
      </c>
      <c r="E509" s="54">
        <v>0</v>
      </c>
      <c r="F509" s="54">
        <v>0</v>
      </c>
      <c r="G509" s="54">
        <v>0</v>
      </c>
      <c r="H509" s="59">
        <f t="shared" si="35"/>
        <v>0</v>
      </c>
    </row>
    <row r="510" spans="1:8" s="7" customFormat="1" ht="15.75" x14ac:dyDescent="0.25">
      <c r="A510" s="12" t="s">
        <v>216</v>
      </c>
      <c r="B510" s="2" t="s">
        <v>123</v>
      </c>
      <c r="C510" s="54"/>
      <c r="D510" s="54">
        <v>0</v>
      </c>
      <c r="E510" s="54">
        <v>0</v>
      </c>
      <c r="F510" s="54">
        <v>0</v>
      </c>
      <c r="G510" s="54">
        <v>0</v>
      </c>
      <c r="H510" s="59">
        <f t="shared" si="35"/>
        <v>0</v>
      </c>
    </row>
    <row r="511" spans="1:8" s="7" customFormat="1" ht="15.75" x14ac:dyDescent="0.25">
      <c r="A511" s="12" t="s">
        <v>217</v>
      </c>
      <c r="B511" s="2" t="s">
        <v>669</v>
      </c>
      <c r="C511" s="54"/>
      <c r="D511" s="54">
        <v>0</v>
      </c>
      <c r="E511" s="54">
        <v>0</v>
      </c>
      <c r="F511" s="54">
        <v>0</v>
      </c>
      <c r="G511" s="54">
        <v>0</v>
      </c>
      <c r="H511" s="59">
        <f t="shared" si="35"/>
        <v>0</v>
      </c>
    </row>
    <row r="512" spans="1:8" s="7" customFormat="1" ht="15.75" x14ac:dyDescent="0.25">
      <c r="A512" s="12" t="s">
        <v>218</v>
      </c>
      <c r="B512" s="2" t="s">
        <v>150</v>
      </c>
      <c r="C512" s="8"/>
      <c r="D512" s="54">
        <v>0</v>
      </c>
      <c r="E512" s="54">
        <v>0</v>
      </c>
      <c r="F512" s="54">
        <v>0</v>
      </c>
      <c r="G512" s="54">
        <v>0</v>
      </c>
      <c r="H512" s="59">
        <f t="shared" si="35"/>
        <v>0</v>
      </c>
    </row>
    <row r="513" spans="1:8" s="7" customFormat="1" ht="15.75" x14ac:dyDescent="0.25">
      <c r="A513" s="12" t="s">
        <v>219</v>
      </c>
      <c r="B513" s="2" t="s">
        <v>124</v>
      </c>
      <c r="C513" s="14"/>
      <c r="D513" s="54">
        <v>0</v>
      </c>
      <c r="E513" s="54">
        <v>0</v>
      </c>
      <c r="F513" s="54">
        <v>0</v>
      </c>
      <c r="G513" s="54">
        <v>0</v>
      </c>
      <c r="H513" s="59">
        <f t="shared" si="35"/>
        <v>0</v>
      </c>
    </row>
    <row r="514" spans="1:8" s="7" customFormat="1" ht="15.75" x14ac:dyDescent="0.25">
      <c r="A514" s="12" t="s">
        <v>220</v>
      </c>
      <c r="B514" s="2" t="s">
        <v>119</v>
      </c>
      <c r="C514" s="14"/>
      <c r="D514" s="54">
        <v>0</v>
      </c>
      <c r="E514" s="54">
        <v>0</v>
      </c>
      <c r="F514" s="54">
        <v>0</v>
      </c>
      <c r="G514" s="54">
        <v>0</v>
      </c>
      <c r="H514" s="59">
        <f t="shared" si="35"/>
        <v>0</v>
      </c>
    </row>
    <row r="515" spans="1:8" s="7" customFormat="1" ht="15.75" x14ac:dyDescent="0.25">
      <c r="A515" s="12" t="s">
        <v>259</v>
      </c>
      <c r="B515" s="2" t="s">
        <v>666</v>
      </c>
      <c r="C515" s="14"/>
      <c r="D515" s="54">
        <v>0</v>
      </c>
      <c r="E515" s="54">
        <v>0</v>
      </c>
      <c r="F515" s="54">
        <v>0</v>
      </c>
      <c r="G515" s="54">
        <v>0</v>
      </c>
      <c r="H515" s="59">
        <f t="shared" si="35"/>
        <v>0</v>
      </c>
    </row>
    <row r="516" spans="1:8" s="7" customFormat="1" ht="15.75" x14ac:dyDescent="0.25">
      <c r="A516" s="12" t="s">
        <v>435</v>
      </c>
      <c r="B516" s="2" t="s">
        <v>758</v>
      </c>
      <c r="C516" s="14"/>
      <c r="D516" s="54">
        <v>0</v>
      </c>
      <c r="E516" s="54">
        <v>0</v>
      </c>
      <c r="F516" s="54">
        <v>0</v>
      </c>
      <c r="G516" s="54">
        <v>0</v>
      </c>
      <c r="H516" s="59">
        <f t="shared" si="35"/>
        <v>0</v>
      </c>
    </row>
    <row r="517" spans="1:8" s="7" customFormat="1" ht="15.75" x14ac:dyDescent="0.25">
      <c r="A517" s="12" t="s">
        <v>436</v>
      </c>
      <c r="B517" s="2" t="s">
        <v>759</v>
      </c>
      <c r="C517" s="14"/>
      <c r="D517" s="54">
        <v>0</v>
      </c>
      <c r="E517" s="54">
        <v>0</v>
      </c>
      <c r="F517" s="54">
        <v>0</v>
      </c>
      <c r="G517" s="54">
        <v>0</v>
      </c>
      <c r="H517" s="59">
        <f t="shared" si="35"/>
        <v>0</v>
      </c>
    </row>
    <row r="518" spans="1:8" s="7" customFormat="1" ht="15.75" x14ac:dyDescent="0.25">
      <c r="A518" s="12" t="s">
        <v>439</v>
      </c>
      <c r="B518" s="2" t="s">
        <v>444</v>
      </c>
      <c r="C518" s="9"/>
      <c r="D518" s="54">
        <v>0</v>
      </c>
      <c r="E518" s="54">
        <v>0</v>
      </c>
      <c r="F518" s="14">
        <v>0</v>
      </c>
      <c r="G518" s="54">
        <v>0</v>
      </c>
      <c r="H518" s="59">
        <f t="shared" si="35"/>
        <v>0</v>
      </c>
    </row>
    <row r="519" spans="1:8" s="7" customFormat="1" ht="15.75" x14ac:dyDescent="0.25">
      <c r="A519" s="12" t="s">
        <v>654</v>
      </c>
      <c r="B519" s="2" t="s">
        <v>447</v>
      </c>
      <c r="C519" s="9"/>
      <c r="D519" s="54">
        <v>0</v>
      </c>
      <c r="E519" s="54">
        <v>0</v>
      </c>
      <c r="F519" s="54">
        <v>0</v>
      </c>
      <c r="G519" s="54">
        <v>0</v>
      </c>
      <c r="H519" s="59">
        <f t="shared" si="35"/>
        <v>0</v>
      </c>
    </row>
    <row r="520" spans="1:8" s="7" customFormat="1" ht="15.75" x14ac:dyDescent="0.25">
      <c r="A520" s="12" t="s">
        <v>443</v>
      </c>
      <c r="B520" s="2" t="s">
        <v>127</v>
      </c>
      <c r="C520" s="9">
        <v>500000</v>
      </c>
      <c r="D520" s="54">
        <v>0</v>
      </c>
      <c r="E520" s="54">
        <v>0</v>
      </c>
      <c r="F520" s="8">
        <v>2500000</v>
      </c>
      <c r="G520" s="54">
        <v>0</v>
      </c>
      <c r="H520" s="59">
        <f t="shared" si="35"/>
        <v>3000000</v>
      </c>
    </row>
    <row r="521" spans="1:8" s="7" customFormat="1" ht="15.75" x14ac:dyDescent="0.25">
      <c r="A521" s="12" t="s">
        <v>664</v>
      </c>
      <c r="B521" s="2" t="s">
        <v>665</v>
      </c>
      <c r="C521" s="14">
        <v>75000</v>
      </c>
      <c r="D521" s="54">
        <v>0</v>
      </c>
      <c r="E521" s="54">
        <v>0</v>
      </c>
      <c r="F521" s="54">
        <v>0</v>
      </c>
      <c r="G521" s="54">
        <v>0</v>
      </c>
      <c r="H521" s="59">
        <f t="shared" si="35"/>
        <v>75000</v>
      </c>
    </row>
    <row r="522" spans="1:8" s="7" customFormat="1" ht="15.75" x14ac:dyDescent="0.25">
      <c r="A522" s="12" t="s">
        <v>642</v>
      </c>
      <c r="B522" s="2" t="s">
        <v>441</v>
      </c>
      <c r="C522" s="9">
        <v>200000</v>
      </c>
      <c r="D522" s="54">
        <v>0</v>
      </c>
      <c r="E522" s="54">
        <v>0</v>
      </c>
      <c r="F522" s="54">
        <v>0</v>
      </c>
      <c r="G522" s="54">
        <v>0</v>
      </c>
      <c r="H522" s="59">
        <f t="shared" si="35"/>
        <v>200000</v>
      </c>
    </row>
    <row r="523" spans="1:8" s="7" customFormat="1" ht="15.75" x14ac:dyDescent="0.25">
      <c r="A523" s="12" t="s">
        <v>655</v>
      </c>
      <c r="B523" s="2" t="s">
        <v>659</v>
      </c>
      <c r="C523" s="14">
        <v>26000</v>
      </c>
      <c r="D523" s="54">
        <v>0</v>
      </c>
      <c r="E523" s="54">
        <v>0</v>
      </c>
      <c r="F523" s="54">
        <v>0</v>
      </c>
      <c r="G523" s="54">
        <v>0</v>
      </c>
      <c r="H523" s="59">
        <f t="shared" si="35"/>
        <v>26000</v>
      </c>
    </row>
    <row r="524" spans="1:8" s="7" customFormat="1" ht="15.75" x14ac:dyDescent="0.25">
      <c r="A524" s="12" t="s">
        <v>656</v>
      </c>
      <c r="B524" s="2" t="s">
        <v>660</v>
      </c>
      <c r="C524" s="14">
        <v>120000</v>
      </c>
      <c r="D524" s="54">
        <v>0</v>
      </c>
      <c r="E524" s="54">
        <v>0</v>
      </c>
      <c r="F524" s="54">
        <v>0</v>
      </c>
      <c r="G524" s="54">
        <v>0</v>
      </c>
      <c r="H524" s="59">
        <f t="shared" si="35"/>
        <v>120000</v>
      </c>
    </row>
    <row r="525" spans="1:8" s="7" customFormat="1" ht="15.75" x14ac:dyDescent="0.25">
      <c r="A525" s="12" t="s">
        <v>657</v>
      </c>
      <c r="B525" s="2" t="s">
        <v>661</v>
      </c>
      <c r="C525" s="14"/>
      <c r="D525" s="54">
        <v>0</v>
      </c>
      <c r="E525" s="54">
        <v>0</v>
      </c>
      <c r="F525" s="54">
        <v>0</v>
      </c>
      <c r="G525" s="54">
        <v>0</v>
      </c>
      <c r="H525" s="59">
        <f t="shared" si="35"/>
        <v>0</v>
      </c>
    </row>
    <row r="526" spans="1:8" s="7" customFormat="1" ht="15.75" x14ac:dyDescent="0.25">
      <c r="A526" s="12" t="s">
        <v>658</v>
      </c>
      <c r="B526" s="2" t="s">
        <v>662</v>
      </c>
      <c r="C526" s="14"/>
      <c r="D526" s="54">
        <v>0</v>
      </c>
      <c r="E526" s="54">
        <v>0</v>
      </c>
      <c r="F526" s="54">
        <v>0</v>
      </c>
      <c r="G526" s="54">
        <v>0</v>
      </c>
      <c r="H526" s="59">
        <f t="shared" si="35"/>
        <v>0</v>
      </c>
    </row>
    <row r="527" spans="1:8" s="7" customFormat="1" ht="15.75" x14ac:dyDescent="0.25">
      <c r="A527" s="12" t="s">
        <v>644</v>
      </c>
      <c r="B527" s="2" t="s">
        <v>130</v>
      </c>
      <c r="C527" s="9">
        <v>400000</v>
      </c>
      <c r="D527" s="54">
        <v>0</v>
      </c>
      <c r="E527" s="54">
        <v>0</v>
      </c>
      <c r="F527" s="54">
        <v>0</v>
      </c>
      <c r="G527" s="54">
        <v>0</v>
      </c>
      <c r="H527" s="59">
        <f t="shared" si="35"/>
        <v>400000</v>
      </c>
    </row>
    <row r="528" spans="1:8" s="7" customFormat="1" ht="15.75" x14ac:dyDescent="0.25">
      <c r="A528" s="12" t="s">
        <v>645</v>
      </c>
      <c r="B528" s="2" t="s">
        <v>446</v>
      </c>
      <c r="C528" s="9">
        <v>100000</v>
      </c>
      <c r="D528" s="54">
        <v>0</v>
      </c>
      <c r="E528" s="54">
        <v>0</v>
      </c>
      <c r="F528" s="54">
        <v>0</v>
      </c>
      <c r="G528" s="54">
        <v>0</v>
      </c>
      <c r="H528" s="59">
        <f t="shared" si="35"/>
        <v>100000</v>
      </c>
    </row>
    <row r="529" spans="1:8" s="7" customFormat="1" ht="15.75" x14ac:dyDescent="0.25">
      <c r="A529" s="12" t="s">
        <v>667</v>
      </c>
      <c r="B529" s="2" t="s">
        <v>668</v>
      </c>
      <c r="C529" s="14">
        <v>100000</v>
      </c>
      <c r="D529" s="54">
        <v>0</v>
      </c>
      <c r="E529" s="54">
        <v>0</v>
      </c>
      <c r="F529" s="54">
        <v>0</v>
      </c>
      <c r="G529" s="54">
        <v>0</v>
      </c>
      <c r="H529" s="59">
        <f t="shared" si="35"/>
        <v>100000</v>
      </c>
    </row>
    <row r="530" spans="1:8" s="7" customFormat="1" ht="15.75" x14ac:dyDescent="0.25">
      <c r="A530" s="12" t="s">
        <v>652</v>
      </c>
      <c r="B530" s="2" t="s">
        <v>455</v>
      </c>
      <c r="C530" s="9">
        <v>150000</v>
      </c>
      <c r="D530" s="8">
        <v>150000</v>
      </c>
      <c r="E530" s="8">
        <v>150000</v>
      </c>
      <c r="F530" s="8">
        <v>150000</v>
      </c>
      <c r="G530" s="8">
        <v>150000</v>
      </c>
      <c r="H530" s="59">
        <f t="shared" si="35"/>
        <v>750000</v>
      </c>
    </row>
    <row r="531" spans="1:8" s="7" customFormat="1" ht="15.75" x14ac:dyDescent="0.25">
      <c r="A531" s="12" t="s">
        <v>648</v>
      </c>
      <c r="B531" s="2" t="s">
        <v>449</v>
      </c>
      <c r="C531" s="9">
        <v>175000</v>
      </c>
      <c r="D531" s="54">
        <v>0</v>
      </c>
      <c r="E531" s="54">
        <v>0</v>
      </c>
      <c r="F531" s="54">
        <v>0</v>
      </c>
      <c r="G531" s="54">
        <v>0</v>
      </c>
      <c r="H531" s="59">
        <f t="shared" si="35"/>
        <v>175000</v>
      </c>
    </row>
    <row r="532" spans="1:8" s="7" customFormat="1" ht="15.75" x14ac:dyDescent="0.25">
      <c r="A532" s="12" t="s">
        <v>649</v>
      </c>
      <c r="B532" s="2" t="s">
        <v>450</v>
      </c>
      <c r="C532" s="9">
        <v>175000</v>
      </c>
      <c r="D532" s="54">
        <v>0</v>
      </c>
      <c r="E532" s="54">
        <v>0</v>
      </c>
      <c r="F532" s="54">
        <v>0</v>
      </c>
      <c r="G532" s="54">
        <v>0</v>
      </c>
      <c r="H532" s="59">
        <f t="shared" si="35"/>
        <v>175000</v>
      </c>
    </row>
    <row r="533" spans="1:8" s="7" customFormat="1" ht="15.75" x14ac:dyDescent="0.25">
      <c r="A533" s="12" t="s">
        <v>651</v>
      </c>
      <c r="B533" s="2" t="s">
        <v>460</v>
      </c>
      <c r="C533" s="14">
        <v>200000</v>
      </c>
      <c r="D533" s="54">
        <v>0</v>
      </c>
      <c r="E533" s="8">
        <v>150000</v>
      </c>
      <c r="F533" s="8">
        <v>150000</v>
      </c>
      <c r="G533" s="54">
        <v>0</v>
      </c>
      <c r="H533" s="59">
        <f t="shared" si="35"/>
        <v>500000</v>
      </c>
    </row>
    <row r="534" spans="1:8" s="7" customFormat="1" ht="15.75" x14ac:dyDescent="0.25">
      <c r="A534" s="12" t="s">
        <v>647</v>
      </c>
      <c r="B534" s="2" t="s">
        <v>621</v>
      </c>
      <c r="C534" s="9">
        <v>200000</v>
      </c>
      <c r="D534" s="54"/>
      <c r="E534" s="54"/>
      <c r="F534" s="54"/>
      <c r="G534" s="54"/>
      <c r="H534" s="59">
        <f t="shared" si="35"/>
        <v>200000</v>
      </c>
    </row>
    <row r="535" spans="1:8" s="7" customFormat="1" ht="15.75" x14ac:dyDescent="0.25">
      <c r="A535" s="12" t="s">
        <v>641</v>
      </c>
      <c r="B535" s="2" t="s">
        <v>440</v>
      </c>
      <c r="C535" s="9">
        <v>150000</v>
      </c>
      <c r="D535" s="54">
        <v>0</v>
      </c>
      <c r="E535" s="54">
        <v>0</v>
      </c>
      <c r="F535" s="54">
        <v>0</v>
      </c>
      <c r="G535" s="54">
        <v>0</v>
      </c>
      <c r="H535" s="59">
        <f t="shared" si="35"/>
        <v>150000</v>
      </c>
    </row>
    <row r="536" spans="1:8" s="7" customFormat="1" ht="15.75" x14ac:dyDescent="0.25">
      <c r="A536" s="12" t="s">
        <v>646</v>
      </c>
      <c r="B536" s="2" t="s">
        <v>448</v>
      </c>
      <c r="C536" s="9">
        <v>100000</v>
      </c>
      <c r="D536" s="54">
        <v>0</v>
      </c>
      <c r="E536" s="54">
        <v>0</v>
      </c>
      <c r="F536" s="54">
        <v>0</v>
      </c>
      <c r="G536" s="54">
        <v>0</v>
      </c>
      <c r="H536" s="59">
        <f t="shared" si="35"/>
        <v>100000</v>
      </c>
    </row>
    <row r="537" spans="1:8" s="7" customFormat="1" ht="15.75" x14ac:dyDescent="0.25">
      <c r="A537" s="12" t="s">
        <v>643</v>
      </c>
      <c r="B537" s="2" t="s">
        <v>445</v>
      </c>
      <c r="C537" s="9">
        <v>200000</v>
      </c>
      <c r="D537" s="54">
        <v>0</v>
      </c>
      <c r="E537" s="54">
        <v>0</v>
      </c>
      <c r="F537" s="54">
        <v>0</v>
      </c>
      <c r="G537" s="54">
        <v>0</v>
      </c>
      <c r="H537" s="59">
        <f t="shared" si="35"/>
        <v>200000</v>
      </c>
    </row>
    <row r="538" spans="1:8" s="7" customFormat="1" ht="15.75" x14ac:dyDescent="0.25">
      <c r="A538" s="12" t="s">
        <v>650</v>
      </c>
      <c r="B538" s="2" t="s">
        <v>128</v>
      </c>
      <c r="C538" s="9">
        <v>200000</v>
      </c>
      <c r="D538" s="54">
        <v>0</v>
      </c>
      <c r="E538" s="54">
        <v>0</v>
      </c>
      <c r="F538" s="54">
        <v>0</v>
      </c>
      <c r="G538" s="54">
        <v>0</v>
      </c>
      <c r="H538" s="59">
        <f t="shared" si="35"/>
        <v>200000</v>
      </c>
    </row>
    <row r="539" spans="1:8" s="7" customFormat="1" ht="15.75" x14ac:dyDescent="0.25">
      <c r="A539" s="12"/>
      <c r="B539" s="2" t="s">
        <v>451</v>
      </c>
      <c r="C539" s="9"/>
      <c r="D539" s="14">
        <v>0</v>
      </c>
      <c r="E539" s="54">
        <v>0</v>
      </c>
      <c r="F539" s="54">
        <v>0</v>
      </c>
      <c r="G539" s="54">
        <v>0</v>
      </c>
      <c r="H539" s="59">
        <f t="shared" si="35"/>
        <v>0</v>
      </c>
    </row>
    <row r="540" spans="1:8" s="7" customFormat="1" ht="15.75" x14ac:dyDescent="0.25">
      <c r="A540" s="12" t="s">
        <v>919</v>
      </c>
      <c r="B540" s="2" t="s">
        <v>452</v>
      </c>
      <c r="C540" s="9">
        <v>300000</v>
      </c>
      <c r="D540" s="14">
        <v>0</v>
      </c>
      <c r="E540" s="54">
        <v>0</v>
      </c>
      <c r="F540" s="54">
        <v>0</v>
      </c>
      <c r="G540" s="54">
        <v>0</v>
      </c>
      <c r="H540" s="59">
        <f t="shared" si="35"/>
        <v>300000</v>
      </c>
    </row>
    <row r="541" spans="1:8" s="7" customFormat="1" ht="15.75" x14ac:dyDescent="0.25">
      <c r="A541" s="12" t="s">
        <v>915</v>
      </c>
      <c r="B541" s="2" t="s">
        <v>916</v>
      </c>
      <c r="C541" s="9">
        <v>300000</v>
      </c>
      <c r="D541" s="9"/>
      <c r="E541" s="14">
        <v>0</v>
      </c>
      <c r="F541" s="14">
        <v>0</v>
      </c>
      <c r="G541" s="14">
        <v>0</v>
      </c>
      <c r="H541" s="59">
        <f t="shared" ref="H541" si="36">SUM(C541:G541)</f>
        <v>300000</v>
      </c>
    </row>
    <row r="542" spans="1:8" s="7" customFormat="1" ht="15.75" x14ac:dyDescent="0.25">
      <c r="A542" s="12" t="s">
        <v>914</v>
      </c>
      <c r="B542" s="2" t="s">
        <v>913</v>
      </c>
      <c r="C542" s="9">
        <v>100000</v>
      </c>
      <c r="D542" s="9">
        <v>200000</v>
      </c>
      <c r="E542" s="14">
        <v>0</v>
      </c>
      <c r="F542" s="14">
        <v>0</v>
      </c>
      <c r="G542" s="14">
        <v>0</v>
      </c>
      <c r="H542" s="59">
        <f t="shared" si="35"/>
        <v>300000</v>
      </c>
    </row>
    <row r="543" spans="1:8" s="7" customFormat="1" ht="15.75" x14ac:dyDescent="0.25">
      <c r="A543" s="12"/>
      <c r="B543" s="2" t="s">
        <v>453</v>
      </c>
      <c r="C543" s="9"/>
      <c r="D543" s="9">
        <v>1000000</v>
      </c>
      <c r="E543" s="14">
        <v>0</v>
      </c>
      <c r="F543" s="14">
        <v>0</v>
      </c>
      <c r="G543" s="14">
        <v>0</v>
      </c>
      <c r="H543" s="59">
        <f t="shared" si="35"/>
        <v>1000000</v>
      </c>
    </row>
    <row r="544" spans="1:8" s="7" customFormat="1" ht="15.75" x14ac:dyDescent="0.25">
      <c r="A544" s="12"/>
      <c r="B544" s="2" t="s">
        <v>454</v>
      </c>
      <c r="C544" s="8"/>
      <c r="D544" s="9">
        <v>125000</v>
      </c>
      <c r="E544" s="8">
        <v>125000</v>
      </c>
      <c r="F544" s="8">
        <v>125000</v>
      </c>
      <c r="G544" s="8"/>
      <c r="H544" s="59">
        <f t="shared" si="35"/>
        <v>375000</v>
      </c>
    </row>
    <row r="545" spans="1:12" s="7" customFormat="1" ht="15.75" x14ac:dyDescent="0.25">
      <c r="A545" s="12"/>
      <c r="B545" s="2" t="s">
        <v>456</v>
      </c>
      <c r="C545" s="54"/>
      <c r="D545" s="9">
        <v>400000</v>
      </c>
      <c r="E545" s="54">
        <v>0</v>
      </c>
      <c r="F545" s="54">
        <v>0</v>
      </c>
      <c r="G545" s="54">
        <v>0</v>
      </c>
      <c r="H545" s="59">
        <f t="shared" si="35"/>
        <v>400000</v>
      </c>
    </row>
    <row r="546" spans="1:12" s="7" customFormat="1" ht="15.75" x14ac:dyDescent="0.25">
      <c r="A546" s="12"/>
      <c r="B546" s="2" t="s">
        <v>457</v>
      </c>
      <c r="C546" s="54"/>
      <c r="D546" s="9">
        <v>400000</v>
      </c>
      <c r="E546" s="54">
        <v>0</v>
      </c>
      <c r="F546" s="54">
        <v>0</v>
      </c>
      <c r="G546" s="54">
        <v>0</v>
      </c>
      <c r="H546" s="59">
        <f t="shared" si="35"/>
        <v>400000</v>
      </c>
    </row>
    <row r="547" spans="1:12" s="7" customFormat="1" ht="15.75" x14ac:dyDescent="0.25">
      <c r="A547" s="12"/>
      <c r="B547" s="2" t="s">
        <v>458</v>
      </c>
      <c r="C547" s="54"/>
      <c r="D547" s="9">
        <v>650000</v>
      </c>
      <c r="E547" s="14">
        <v>0</v>
      </c>
      <c r="F547" s="14">
        <v>0</v>
      </c>
      <c r="G547" s="14">
        <v>0</v>
      </c>
      <c r="H547" s="59">
        <f t="shared" si="35"/>
        <v>650000</v>
      </c>
    </row>
    <row r="548" spans="1:12" s="7" customFormat="1" ht="15.75" x14ac:dyDescent="0.25">
      <c r="A548" s="12"/>
      <c r="B548" s="2" t="s">
        <v>459</v>
      </c>
      <c r="C548" s="54"/>
      <c r="D548" s="8">
        <v>200000</v>
      </c>
      <c r="E548" s="9">
        <v>200000</v>
      </c>
      <c r="F548" s="9">
        <v>200000</v>
      </c>
      <c r="G548" s="8">
        <v>200000</v>
      </c>
      <c r="H548" s="59">
        <f t="shared" si="35"/>
        <v>800000</v>
      </c>
    </row>
    <row r="549" spans="1:12" s="7" customFormat="1" ht="15.75" x14ac:dyDescent="0.25">
      <c r="A549" s="12"/>
      <c r="B549" s="2" t="s">
        <v>461</v>
      </c>
      <c r="C549" s="54"/>
      <c r="D549" s="54">
        <v>0</v>
      </c>
      <c r="E549" s="9">
        <v>1500000</v>
      </c>
      <c r="F549" s="9">
        <v>1500000</v>
      </c>
      <c r="G549" s="54">
        <v>0</v>
      </c>
      <c r="H549" s="59">
        <f t="shared" si="35"/>
        <v>3000000</v>
      </c>
    </row>
    <row r="550" spans="1:12" s="7" customFormat="1" ht="15.75" x14ac:dyDescent="0.25">
      <c r="A550" s="12"/>
      <c r="B550" s="2" t="s">
        <v>462</v>
      </c>
      <c r="C550" s="54"/>
      <c r="D550" s="54">
        <v>0</v>
      </c>
      <c r="E550" s="9">
        <v>200000</v>
      </c>
      <c r="F550" s="9">
        <v>300000</v>
      </c>
      <c r="G550" s="54">
        <v>0</v>
      </c>
      <c r="H550" s="59">
        <f t="shared" si="35"/>
        <v>500000</v>
      </c>
    </row>
    <row r="551" spans="1:12" s="7" customFormat="1" ht="15.75" x14ac:dyDescent="0.25">
      <c r="A551" s="12"/>
      <c r="B551" s="2" t="s">
        <v>463</v>
      </c>
      <c r="C551" s="54"/>
      <c r="D551" s="54">
        <v>0</v>
      </c>
      <c r="E551" s="9">
        <v>1000000</v>
      </c>
      <c r="F551" s="9">
        <v>1000000</v>
      </c>
      <c r="G551" s="54">
        <v>0</v>
      </c>
      <c r="H551" s="59">
        <f t="shared" si="35"/>
        <v>2000000</v>
      </c>
    </row>
    <row r="552" spans="1:12" s="7" customFormat="1" ht="15.75" x14ac:dyDescent="0.25">
      <c r="A552" s="12"/>
      <c r="B552" s="2" t="s">
        <v>129</v>
      </c>
      <c r="C552" s="54"/>
      <c r="D552" s="54">
        <v>0</v>
      </c>
      <c r="E552" s="9">
        <v>300000</v>
      </c>
      <c r="F552" s="9">
        <v>450000</v>
      </c>
      <c r="G552" s="54">
        <v>0</v>
      </c>
      <c r="H552" s="59">
        <f t="shared" si="35"/>
        <v>750000</v>
      </c>
    </row>
    <row r="553" spans="1:12" s="7" customFormat="1" ht="15.75" x14ac:dyDescent="0.25">
      <c r="A553" s="12"/>
      <c r="B553" s="2" t="s">
        <v>125</v>
      </c>
      <c r="C553" s="54"/>
      <c r="D553" s="54">
        <v>0</v>
      </c>
      <c r="E553" s="9">
        <v>250000</v>
      </c>
      <c r="F553" s="9">
        <v>200000</v>
      </c>
      <c r="G553" s="54">
        <v>0</v>
      </c>
      <c r="H553" s="59">
        <f t="shared" si="35"/>
        <v>450000</v>
      </c>
    </row>
    <row r="554" spans="1:12" s="7" customFormat="1" ht="15.75" x14ac:dyDescent="0.25">
      <c r="A554" s="12"/>
      <c r="B554" s="2" t="s">
        <v>464</v>
      </c>
      <c r="C554" s="54"/>
      <c r="D554" s="9">
        <v>150000</v>
      </c>
      <c r="E554" s="54">
        <v>0</v>
      </c>
      <c r="F554" s="54">
        <v>0</v>
      </c>
      <c r="G554" s="54">
        <v>0</v>
      </c>
      <c r="H554" s="59">
        <f t="shared" si="35"/>
        <v>150000</v>
      </c>
    </row>
    <row r="555" spans="1:12" s="7" customFormat="1" ht="15.75" x14ac:dyDescent="0.25">
      <c r="A555" s="12"/>
      <c r="B555" s="2" t="s">
        <v>131</v>
      </c>
      <c r="C555" s="9"/>
      <c r="D555" s="9"/>
      <c r="E555" s="54">
        <v>0</v>
      </c>
      <c r="F555" s="54">
        <v>0</v>
      </c>
      <c r="G555" s="54">
        <v>0</v>
      </c>
      <c r="H555" s="59">
        <f t="shared" si="35"/>
        <v>0</v>
      </c>
    </row>
    <row r="556" spans="1:12" s="7" customFormat="1" ht="15.75" x14ac:dyDescent="0.25">
      <c r="A556" s="49"/>
      <c r="B556" s="49" t="s">
        <v>768</v>
      </c>
      <c r="C556" s="50">
        <f t="shared" ref="C556:G556" si="37">SUM(C495:C555)</f>
        <v>4802196</v>
      </c>
      <c r="D556" s="50">
        <f t="shared" si="37"/>
        <v>6576000</v>
      </c>
      <c r="E556" s="50">
        <f t="shared" si="37"/>
        <v>6265000</v>
      </c>
      <c r="F556" s="50">
        <f t="shared" si="37"/>
        <v>6575000</v>
      </c>
      <c r="G556" s="50">
        <f t="shared" si="37"/>
        <v>5350000</v>
      </c>
      <c r="H556" s="50">
        <f>SUM(C556:G556)</f>
        <v>29568196</v>
      </c>
      <c r="I556" s="17"/>
      <c r="J556" s="17"/>
      <c r="K556" s="17"/>
      <c r="L556" s="17"/>
    </row>
    <row r="557" spans="1:12" s="7" customFormat="1" ht="15.75" x14ac:dyDescent="0.25">
      <c r="A557" s="12"/>
      <c r="B557" s="2"/>
      <c r="C557" s="9"/>
      <c r="D557" s="9"/>
      <c r="E557" s="9"/>
      <c r="F557" s="9"/>
      <c r="G557" s="9"/>
      <c r="H557" s="18"/>
    </row>
    <row r="558" spans="1:12" ht="15.75" x14ac:dyDescent="0.25">
      <c r="A558" s="12"/>
      <c r="B558" s="10" t="s">
        <v>151</v>
      </c>
      <c r="C558" s="8"/>
      <c r="D558" s="8"/>
      <c r="E558" s="8"/>
      <c r="F558" s="8"/>
      <c r="G558" s="8"/>
      <c r="H558" s="4"/>
    </row>
    <row r="559" spans="1:12" s="7" customFormat="1" ht="15.75" x14ac:dyDescent="0.25">
      <c r="A559" s="12" t="s">
        <v>663</v>
      </c>
      <c r="B559" s="2" t="s">
        <v>920</v>
      </c>
      <c r="C559" s="14">
        <v>1200000</v>
      </c>
      <c r="D559" s="54">
        <v>0</v>
      </c>
      <c r="E559" s="54">
        <v>0</v>
      </c>
      <c r="F559" s="54">
        <v>0</v>
      </c>
      <c r="G559" s="54">
        <v>0</v>
      </c>
      <c r="H559" s="59">
        <f>SUM(C559:G559)</f>
        <v>1200000</v>
      </c>
    </row>
    <row r="560" spans="1:12" s="7" customFormat="1" ht="15.75" x14ac:dyDescent="0.25">
      <c r="A560" s="12" t="s">
        <v>921</v>
      </c>
      <c r="B560" s="2" t="s">
        <v>923</v>
      </c>
      <c r="C560" s="54">
        <v>150000</v>
      </c>
      <c r="D560" s="54"/>
      <c r="E560" s="54"/>
      <c r="F560" s="54"/>
      <c r="G560" s="54"/>
      <c r="H560" s="59"/>
    </row>
    <row r="561" spans="1:12" s="7" customFormat="1" ht="15.75" x14ac:dyDescent="0.25">
      <c r="A561" s="12" t="s">
        <v>922</v>
      </c>
      <c r="B561" s="2" t="s">
        <v>924</v>
      </c>
      <c r="C561" s="54">
        <v>150000</v>
      </c>
      <c r="D561" s="54"/>
      <c r="E561" s="54"/>
      <c r="F561" s="54"/>
      <c r="G561" s="54"/>
      <c r="H561" s="59"/>
    </row>
    <row r="562" spans="1:12" s="7" customFormat="1" ht="15.75" x14ac:dyDescent="0.25">
      <c r="A562" s="12"/>
      <c r="B562" s="2" t="s">
        <v>925</v>
      </c>
      <c r="C562" s="54"/>
      <c r="D562" s="54">
        <v>150000</v>
      </c>
      <c r="E562" s="54">
        <v>0</v>
      </c>
      <c r="F562" s="54">
        <v>0</v>
      </c>
      <c r="G562" s="54">
        <v>0</v>
      </c>
      <c r="H562" s="59">
        <f>SUM(C562:G562)</f>
        <v>150000</v>
      </c>
    </row>
    <row r="563" spans="1:12" s="7" customFormat="1" ht="15.75" x14ac:dyDescent="0.25">
      <c r="A563" s="12"/>
      <c r="B563" s="2" t="s">
        <v>926</v>
      </c>
      <c r="C563" s="54"/>
      <c r="D563" s="54">
        <f>150000*0</f>
        <v>0</v>
      </c>
      <c r="E563" s="54">
        <v>0</v>
      </c>
      <c r="F563" s="54">
        <v>0</v>
      </c>
      <c r="G563" s="54">
        <v>0</v>
      </c>
      <c r="H563" s="59">
        <f>SUM(C563:G563)</f>
        <v>0</v>
      </c>
    </row>
    <row r="564" spans="1:12" s="7" customFormat="1" ht="15.75" x14ac:dyDescent="0.25">
      <c r="A564" s="12"/>
      <c r="B564" s="2" t="s">
        <v>927</v>
      </c>
      <c r="C564" s="54"/>
      <c r="D564" s="54">
        <v>0</v>
      </c>
      <c r="E564" s="54">
        <v>150000</v>
      </c>
      <c r="F564" s="54">
        <v>0</v>
      </c>
      <c r="G564" s="54">
        <v>0</v>
      </c>
      <c r="H564" s="59">
        <f>SUM(C564:G564)</f>
        <v>150000</v>
      </c>
    </row>
    <row r="565" spans="1:12" s="7" customFormat="1" ht="15.75" x14ac:dyDescent="0.25">
      <c r="A565" s="49"/>
      <c r="B565" s="49" t="s">
        <v>152</v>
      </c>
      <c r="C565" s="50">
        <f t="shared" ref="C565:G565" si="38">SUM(C559:C564)</f>
        <v>1500000</v>
      </c>
      <c r="D565" s="50">
        <f t="shared" si="38"/>
        <v>150000</v>
      </c>
      <c r="E565" s="50">
        <f t="shared" si="38"/>
        <v>150000</v>
      </c>
      <c r="F565" s="50">
        <f t="shared" si="38"/>
        <v>0</v>
      </c>
      <c r="G565" s="50">
        <f t="shared" si="38"/>
        <v>0</v>
      </c>
      <c r="H565" s="50">
        <f>SUM(C565:G565)</f>
        <v>1800000</v>
      </c>
      <c r="I565" s="17"/>
      <c r="J565" s="17"/>
      <c r="K565" s="17"/>
      <c r="L565" s="17"/>
    </row>
    <row r="566" spans="1:12" s="7" customFormat="1" ht="15.75" x14ac:dyDescent="0.25">
      <c r="A566" s="12"/>
      <c r="B566" s="2"/>
      <c r="C566" s="9"/>
      <c r="D566" s="9"/>
      <c r="E566" s="9"/>
      <c r="F566" s="9"/>
      <c r="G566" s="9"/>
      <c r="H566" s="18"/>
    </row>
    <row r="567" spans="1:12" ht="15.75" x14ac:dyDescent="0.25">
      <c r="A567" s="12"/>
      <c r="B567" s="10" t="s">
        <v>153</v>
      </c>
      <c r="C567" s="8"/>
      <c r="D567" s="8"/>
      <c r="E567" s="8"/>
      <c r="F567" s="8"/>
      <c r="G567" s="8"/>
      <c r="H567" s="4"/>
    </row>
    <row r="568" spans="1:12" s="7" customFormat="1" ht="15.75" x14ac:dyDescent="0.25">
      <c r="A568" s="12" t="s">
        <v>132</v>
      </c>
      <c r="B568" s="2" t="s">
        <v>133</v>
      </c>
      <c r="C568" s="54">
        <v>4090520</v>
      </c>
      <c r="D568" s="54">
        <v>4370269</v>
      </c>
      <c r="E568" s="9">
        <v>4435749</v>
      </c>
      <c r="F568" s="9">
        <v>4509086</v>
      </c>
      <c r="G568" s="54">
        <v>4705886</v>
      </c>
      <c r="H568" s="59">
        <f t="shared" ref="H568:H573" si="39">SUM(C568:G568)</f>
        <v>22111510</v>
      </c>
    </row>
    <row r="569" spans="1:12" s="7" customFormat="1" ht="15.75" x14ac:dyDescent="0.25">
      <c r="A569" s="12" t="s">
        <v>134</v>
      </c>
      <c r="B569" s="2" t="s">
        <v>135</v>
      </c>
      <c r="C569" s="54">
        <v>323380</v>
      </c>
      <c r="D569" s="54">
        <v>397838</v>
      </c>
      <c r="E569" s="9">
        <v>409772</v>
      </c>
      <c r="F569" s="9">
        <v>422065</v>
      </c>
      <c r="G569" s="54">
        <v>434726</v>
      </c>
      <c r="H569" s="59">
        <f t="shared" si="39"/>
        <v>1987781</v>
      </c>
    </row>
    <row r="570" spans="1:12" s="7" customFormat="1" ht="15.75" x14ac:dyDescent="0.25">
      <c r="A570" s="12" t="s">
        <v>136</v>
      </c>
      <c r="B570" s="2" t="s">
        <v>137</v>
      </c>
      <c r="C570" s="54">
        <v>323380</v>
      </c>
      <c r="D570" s="54">
        <v>397838</v>
      </c>
      <c r="E570" s="9">
        <v>409772</v>
      </c>
      <c r="F570" s="9">
        <v>422065</v>
      </c>
      <c r="G570" s="54">
        <v>434726</v>
      </c>
      <c r="H570" s="59">
        <f t="shared" si="39"/>
        <v>1987781</v>
      </c>
    </row>
    <row r="571" spans="1:12" s="7" customFormat="1" ht="15.75" x14ac:dyDescent="0.25">
      <c r="A571" s="12" t="s">
        <v>138</v>
      </c>
      <c r="B571" s="2" t="s">
        <v>139</v>
      </c>
      <c r="C571" s="54">
        <v>396360</v>
      </c>
      <c r="D571" s="54">
        <v>397838</v>
      </c>
      <c r="E571" s="9">
        <v>409772</v>
      </c>
      <c r="F571" s="9">
        <v>422065</v>
      </c>
      <c r="G571" s="54">
        <v>434726</v>
      </c>
      <c r="H571" s="59">
        <f t="shared" si="39"/>
        <v>2060761</v>
      </c>
    </row>
    <row r="572" spans="1:12" s="7" customFormat="1" ht="15.75" x14ac:dyDescent="0.25">
      <c r="A572" s="12" t="s">
        <v>140</v>
      </c>
      <c r="B572" s="2" t="s">
        <v>141</v>
      </c>
      <c r="C572" s="54">
        <v>396360</v>
      </c>
      <c r="D572" s="54">
        <v>397838</v>
      </c>
      <c r="E572" s="9">
        <v>409772</v>
      </c>
      <c r="F572" s="9">
        <v>422065</v>
      </c>
      <c r="G572" s="54">
        <v>434726</v>
      </c>
      <c r="H572" s="59">
        <f t="shared" si="39"/>
        <v>2060761</v>
      </c>
    </row>
    <row r="573" spans="1:12" s="7" customFormat="1" ht="15.75" x14ac:dyDescent="0.25">
      <c r="A573" s="49"/>
      <c r="B573" s="49" t="s">
        <v>154</v>
      </c>
      <c r="C573" s="50">
        <f t="shared" ref="C573:G573" si="40">SUM(C568:C572)</f>
        <v>5530000</v>
      </c>
      <c r="D573" s="50">
        <f t="shared" si="40"/>
        <v>5961621</v>
      </c>
      <c r="E573" s="50">
        <f t="shared" si="40"/>
        <v>6074837</v>
      </c>
      <c r="F573" s="50">
        <f t="shared" si="40"/>
        <v>6197346</v>
      </c>
      <c r="G573" s="50">
        <f t="shared" si="40"/>
        <v>6444790</v>
      </c>
      <c r="H573" s="50">
        <f t="shared" si="39"/>
        <v>30208594</v>
      </c>
      <c r="I573" s="17"/>
      <c r="J573" s="17"/>
      <c r="K573" s="17"/>
      <c r="L573" s="17"/>
    </row>
    <row r="574" spans="1:12" s="7" customFormat="1" ht="15.75" x14ac:dyDescent="0.25">
      <c r="A574" s="12"/>
      <c r="B574" s="2"/>
      <c r="C574" s="9"/>
      <c r="D574" s="9"/>
      <c r="E574" s="9"/>
      <c r="F574" s="9"/>
      <c r="G574" s="9"/>
      <c r="H574" s="18"/>
    </row>
    <row r="575" spans="1:12" ht="15.75" x14ac:dyDescent="0.25">
      <c r="A575" s="12"/>
      <c r="B575" s="10" t="s">
        <v>142</v>
      </c>
      <c r="C575" s="8"/>
      <c r="D575" s="8"/>
      <c r="E575" s="8"/>
      <c r="F575" s="8"/>
      <c r="G575" s="8"/>
      <c r="H575" s="4"/>
    </row>
    <row r="576" spans="1:12" s="7" customFormat="1" ht="15.75" x14ac:dyDescent="0.25">
      <c r="A576" s="12" t="s">
        <v>689</v>
      </c>
      <c r="B576" s="2" t="s">
        <v>858</v>
      </c>
      <c r="C576" s="54"/>
      <c r="D576" s="54">
        <v>0</v>
      </c>
      <c r="E576" s="14">
        <v>0</v>
      </c>
      <c r="F576" s="14">
        <v>0</v>
      </c>
      <c r="G576" s="54">
        <v>0</v>
      </c>
      <c r="H576" s="59">
        <f t="shared" ref="H576:H587" si="41">SUM(C576:G576)</f>
        <v>0</v>
      </c>
    </row>
    <row r="577" spans="1:12" s="7" customFormat="1" ht="15.75" x14ac:dyDescent="0.25">
      <c r="A577" s="12" t="s">
        <v>203</v>
      </c>
      <c r="B577" s="2" t="s">
        <v>146</v>
      </c>
      <c r="C577" s="54"/>
      <c r="D577" s="54">
        <v>0</v>
      </c>
      <c r="E577" s="14">
        <v>0</v>
      </c>
      <c r="F577" s="14">
        <v>0</v>
      </c>
      <c r="G577" s="54">
        <v>0</v>
      </c>
      <c r="H577" s="59">
        <f t="shared" si="41"/>
        <v>0</v>
      </c>
    </row>
    <row r="578" spans="1:12" s="7" customFormat="1" ht="15.75" x14ac:dyDescent="0.25">
      <c r="A578" s="12" t="s">
        <v>207</v>
      </c>
      <c r="B578" s="2" t="s">
        <v>147</v>
      </c>
      <c r="C578" s="54"/>
      <c r="D578" s="54">
        <v>0</v>
      </c>
      <c r="E578" s="54">
        <v>0</v>
      </c>
      <c r="F578" s="54">
        <v>0</v>
      </c>
      <c r="G578" s="54">
        <v>0</v>
      </c>
      <c r="H578" s="59">
        <f t="shared" si="41"/>
        <v>0</v>
      </c>
    </row>
    <row r="579" spans="1:12" s="7" customFormat="1" ht="15.75" x14ac:dyDescent="0.25">
      <c r="A579" s="12" t="s">
        <v>208</v>
      </c>
      <c r="B579" s="2" t="s">
        <v>145</v>
      </c>
      <c r="C579" s="54"/>
      <c r="D579" s="54">
        <v>0</v>
      </c>
      <c r="E579" s="54">
        <v>0</v>
      </c>
      <c r="F579" s="54">
        <v>0</v>
      </c>
      <c r="G579" s="54">
        <v>0</v>
      </c>
      <c r="H579" s="59">
        <f t="shared" si="41"/>
        <v>0</v>
      </c>
    </row>
    <row r="580" spans="1:12" s="7" customFormat="1" ht="15.75" x14ac:dyDescent="0.25">
      <c r="A580" s="12" t="s">
        <v>232</v>
      </c>
      <c r="B580" s="2" t="s">
        <v>466</v>
      </c>
      <c r="C580" s="54"/>
      <c r="D580" s="54">
        <v>0</v>
      </c>
      <c r="E580" s="54">
        <v>0</v>
      </c>
      <c r="F580" s="54">
        <v>0</v>
      </c>
      <c r="G580" s="54">
        <v>0</v>
      </c>
      <c r="H580" s="29">
        <f t="shared" si="41"/>
        <v>0</v>
      </c>
    </row>
    <row r="581" spans="1:12" s="7" customFormat="1" ht="15.75" x14ac:dyDescent="0.25">
      <c r="A581" s="62" t="s">
        <v>653</v>
      </c>
      <c r="B581" s="2" t="s">
        <v>72</v>
      </c>
      <c r="C581" s="54"/>
      <c r="D581" s="54">
        <v>0</v>
      </c>
      <c r="E581" s="54">
        <v>0</v>
      </c>
      <c r="F581" s="54">
        <v>0</v>
      </c>
      <c r="G581" s="54">
        <v>0</v>
      </c>
      <c r="H581" s="59">
        <f t="shared" si="41"/>
        <v>0</v>
      </c>
    </row>
    <row r="582" spans="1:12" s="7" customFormat="1" ht="15.75" x14ac:dyDescent="0.25">
      <c r="A582" s="12"/>
      <c r="B582" s="13" t="s">
        <v>465</v>
      </c>
      <c r="C582" s="54"/>
      <c r="D582" s="54">
        <v>150000</v>
      </c>
      <c r="E582" s="8">
        <v>150000</v>
      </c>
      <c r="F582" s="8">
        <v>200000</v>
      </c>
      <c r="G582" s="54">
        <v>200000</v>
      </c>
      <c r="H582" s="59">
        <f t="shared" si="41"/>
        <v>700000</v>
      </c>
    </row>
    <row r="583" spans="1:12" s="7" customFormat="1" ht="15.75" x14ac:dyDescent="0.25">
      <c r="A583" s="60"/>
      <c r="B583" s="61" t="s">
        <v>622</v>
      </c>
      <c r="C583" s="54"/>
      <c r="D583" s="9">
        <f>100000</f>
        <v>100000</v>
      </c>
      <c r="E583" s="9">
        <f>100000</f>
        <v>100000</v>
      </c>
      <c r="F583" s="9">
        <f>100000</f>
        <v>100000</v>
      </c>
      <c r="G583" s="54">
        <v>0</v>
      </c>
      <c r="H583" s="59">
        <f t="shared" si="41"/>
        <v>300000</v>
      </c>
    </row>
    <row r="584" spans="1:12" s="7" customFormat="1" ht="15.75" x14ac:dyDescent="0.25">
      <c r="A584" s="60" t="s">
        <v>911</v>
      </c>
      <c r="B584" s="61" t="s">
        <v>912</v>
      </c>
      <c r="C584" s="54">
        <v>98000</v>
      </c>
      <c r="D584" s="9"/>
      <c r="E584" s="9"/>
      <c r="F584" s="9"/>
      <c r="G584" s="54"/>
      <c r="H584" s="59">
        <f t="shared" ref="H584" si="42">SUM(C584:G584)</f>
        <v>98000</v>
      </c>
    </row>
    <row r="585" spans="1:12" s="7" customFormat="1" ht="15.75" x14ac:dyDescent="0.25">
      <c r="A585" s="60" t="s">
        <v>917</v>
      </c>
      <c r="B585" s="61" t="s">
        <v>918</v>
      </c>
      <c r="C585" s="54">
        <v>40000</v>
      </c>
      <c r="D585" s="9"/>
      <c r="E585" s="9"/>
      <c r="F585" s="9"/>
      <c r="G585" s="54"/>
      <c r="H585" s="59">
        <f t="shared" ref="H585" si="43">SUM(C585:G585)</f>
        <v>40000</v>
      </c>
    </row>
    <row r="586" spans="1:12" s="7" customFormat="1" ht="15.75" x14ac:dyDescent="0.25">
      <c r="A586" s="12" t="s">
        <v>143</v>
      </c>
      <c r="B586" s="2" t="s">
        <v>760</v>
      </c>
      <c r="C586" s="54">
        <f>3238804+25000</f>
        <v>3263804</v>
      </c>
      <c r="D586" s="54">
        <v>2950000</v>
      </c>
      <c r="E586" s="9">
        <v>3050000</v>
      </c>
      <c r="F586" s="9">
        <v>3400000</v>
      </c>
      <c r="G586" s="54">
        <v>3250000</v>
      </c>
      <c r="H586" s="59">
        <f t="shared" si="41"/>
        <v>15913804</v>
      </c>
    </row>
    <row r="587" spans="1:12" s="7" customFormat="1" ht="15.75" x14ac:dyDescent="0.25">
      <c r="A587" s="12" t="s">
        <v>623</v>
      </c>
      <c r="B587" s="2" t="s">
        <v>144</v>
      </c>
      <c r="C587" s="54">
        <v>300000</v>
      </c>
      <c r="D587" s="54">
        <v>0</v>
      </c>
      <c r="E587" s="54">
        <v>0</v>
      </c>
      <c r="F587" s="54">
        <v>0</v>
      </c>
      <c r="G587" s="54">
        <v>0</v>
      </c>
      <c r="H587" s="59">
        <f t="shared" si="41"/>
        <v>300000</v>
      </c>
    </row>
    <row r="588" spans="1:12" s="7" customFormat="1" ht="18" x14ac:dyDescent="0.25">
      <c r="A588" s="56"/>
      <c r="B588" s="56" t="s">
        <v>345</v>
      </c>
      <c r="C588" s="57">
        <f t="shared" ref="C588:G588" si="44">SUM(C576:C587)</f>
        <v>3701804</v>
      </c>
      <c r="D588" s="57">
        <f t="shared" si="44"/>
        <v>3200000</v>
      </c>
      <c r="E588" s="57">
        <f t="shared" si="44"/>
        <v>3300000</v>
      </c>
      <c r="F588" s="57">
        <f t="shared" si="44"/>
        <v>3700000</v>
      </c>
      <c r="G588" s="57">
        <f t="shared" si="44"/>
        <v>3450000</v>
      </c>
      <c r="H588" s="57">
        <f>SUM(C588:G588)</f>
        <v>17351804</v>
      </c>
      <c r="I588" s="17"/>
      <c r="J588" s="17"/>
      <c r="K588" s="17"/>
      <c r="L588" s="17"/>
    </row>
    <row r="589" spans="1:12" s="7" customFormat="1" ht="15.75" x14ac:dyDescent="0.25">
      <c r="A589" s="12"/>
      <c r="B589" s="2"/>
      <c r="C589" s="9"/>
      <c r="D589" s="9"/>
      <c r="E589" s="9"/>
      <c r="F589" s="9"/>
      <c r="G589" s="9"/>
      <c r="H589" s="18"/>
    </row>
    <row r="590" spans="1:12" s="7" customFormat="1" ht="18" x14ac:dyDescent="0.25">
      <c r="A590" s="23"/>
      <c r="B590" s="23" t="s">
        <v>155</v>
      </c>
      <c r="C590" s="24">
        <f>C556+C565+C573+C588</f>
        <v>15534000</v>
      </c>
      <c r="D590" s="24">
        <f t="shared" ref="D590:H590" si="45">D556+D565+D573+D588</f>
        <v>15887621</v>
      </c>
      <c r="E590" s="24">
        <f t="shared" si="45"/>
        <v>15789837</v>
      </c>
      <c r="F590" s="24">
        <f t="shared" si="45"/>
        <v>16472346</v>
      </c>
      <c r="G590" s="24">
        <f t="shared" si="45"/>
        <v>15244790</v>
      </c>
      <c r="H590" s="24">
        <f t="shared" si="45"/>
        <v>78928594</v>
      </c>
    </row>
    <row r="591" spans="1:12" s="7" customFormat="1" ht="15.75" x14ac:dyDescent="0.25">
      <c r="A591" s="16"/>
      <c r="B591" s="2"/>
      <c r="C591" s="9"/>
      <c r="D591" s="9"/>
      <c r="E591" s="9"/>
      <c r="F591" s="9"/>
      <c r="G591" s="9"/>
      <c r="H591" s="18"/>
    </row>
    <row r="592" spans="1:12" ht="15.75" x14ac:dyDescent="0.25">
      <c r="A592" s="11"/>
      <c r="B592" s="13" t="s">
        <v>113</v>
      </c>
      <c r="C592" s="9"/>
      <c r="D592" s="9"/>
      <c r="E592" s="9"/>
      <c r="F592" s="9"/>
      <c r="G592" s="9"/>
      <c r="H592" s="3"/>
    </row>
    <row r="593" spans="1:12" s="7" customFormat="1" ht="15.75" x14ac:dyDescent="0.25">
      <c r="A593" s="12" t="s">
        <v>762</v>
      </c>
      <c r="B593" s="2" t="s">
        <v>116</v>
      </c>
      <c r="C593" s="54">
        <f>100000+(159902000-154510147)</f>
        <v>5491853</v>
      </c>
      <c r="D593" s="54">
        <v>100000</v>
      </c>
      <c r="E593" s="54">
        <v>100000</v>
      </c>
      <c r="F593" s="54">
        <v>100000</v>
      </c>
      <c r="G593" s="54">
        <v>100000</v>
      </c>
      <c r="H593" s="18">
        <f t="shared" ref="H593:H601" si="46">SUM(C593:G593)</f>
        <v>5891853</v>
      </c>
    </row>
    <row r="594" spans="1:12" s="7" customFormat="1" ht="15.75" x14ac:dyDescent="0.25">
      <c r="A594" s="12" t="s">
        <v>228</v>
      </c>
      <c r="B594" s="2" t="s">
        <v>114</v>
      </c>
      <c r="C594" s="54"/>
      <c r="D594" s="54">
        <v>0</v>
      </c>
      <c r="E594" s="54">
        <v>0</v>
      </c>
      <c r="F594" s="54">
        <v>0</v>
      </c>
      <c r="G594" s="54">
        <v>0</v>
      </c>
      <c r="H594" s="18">
        <f t="shared" si="46"/>
        <v>0</v>
      </c>
    </row>
    <row r="595" spans="1:12" s="7" customFormat="1" ht="15.75" x14ac:dyDescent="0.25">
      <c r="A595" s="12" t="s">
        <v>201</v>
      </c>
      <c r="B595" s="2" t="s">
        <v>115</v>
      </c>
      <c r="C595" s="54">
        <v>50000</v>
      </c>
      <c r="D595" s="54">
        <v>0</v>
      </c>
      <c r="E595" s="54">
        <v>0</v>
      </c>
      <c r="F595" s="54">
        <v>0</v>
      </c>
      <c r="G595" s="54">
        <v>0</v>
      </c>
      <c r="H595" s="18">
        <f t="shared" si="46"/>
        <v>50000</v>
      </c>
    </row>
    <row r="596" spans="1:12" s="7" customFormat="1" ht="15.75" x14ac:dyDescent="0.25">
      <c r="A596" s="12"/>
      <c r="B596" s="2" t="s">
        <v>775</v>
      </c>
      <c r="C596" s="54"/>
      <c r="D596" s="54"/>
      <c r="E596" s="54"/>
      <c r="F596" s="54"/>
      <c r="G596" s="54"/>
      <c r="H596" s="18"/>
    </row>
    <row r="597" spans="1:12" s="7" customFormat="1" ht="15.75" x14ac:dyDescent="0.25">
      <c r="A597" s="12" t="s">
        <v>687</v>
      </c>
      <c r="B597" s="2" t="s">
        <v>859</v>
      </c>
      <c r="C597" s="54"/>
      <c r="D597" s="54">
        <v>0</v>
      </c>
      <c r="E597" s="54">
        <v>0</v>
      </c>
      <c r="F597" s="54">
        <v>0</v>
      </c>
      <c r="G597" s="54">
        <v>0</v>
      </c>
      <c r="H597" s="18">
        <f t="shared" si="46"/>
        <v>0</v>
      </c>
    </row>
    <row r="598" spans="1:12" s="7" customFormat="1" ht="15.75" x14ac:dyDescent="0.25">
      <c r="A598" s="12" t="s">
        <v>240</v>
      </c>
      <c r="B598" s="2" t="s">
        <v>241</v>
      </c>
      <c r="C598" s="54"/>
      <c r="D598" s="54">
        <v>0</v>
      </c>
      <c r="E598" s="54">
        <v>0</v>
      </c>
      <c r="F598" s="54">
        <v>0</v>
      </c>
      <c r="G598" s="54">
        <v>0</v>
      </c>
      <c r="H598" s="18">
        <f t="shared" si="46"/>
        <v>0</v>
      </c>
    </row>
    <row r="599" spans="1:12" s="7" customFormat="1" ht="15.75" x14ac:dyDescent="0.25">
      <c r="A599" s="12" t="s">
        <v>242</v>
      </c>
      <c r="B599" s="2" t="s">
        <v>433</v>
      </c>
      <c r="C599" s="54">
        <v>580000</v>
      </c>
      <c r="D599" s="54">
        <v>0</v>
      </c>
      <c r="E599" s="54">
        <v>0</v>
      </c>
      <c r="F599" s="54">
        <v>0</v>
      </c>
      <c r="G599" s="54">
        <v>0</v>
      </c>
      <c r="H599" s="18">
        <f t="shared" si="46"/>
        <v>580000</v>
      </c>
    </row>
    <row r="600" spans="1:12" s="7" customFormat="1" ht="15.75" x14ac:dyDescent="0.25">
      <c r="A600" s="12"/>
      <c r="B600" s="2" t="s">
        <v>761</v>
      </c>
      <c r="C600" s="54"/>
      <c r="D600" s="54">
        <v>0</v>
      </c>
      <c r="E600" s="54">
        <v>0</v>
      </c>
      <c r="F600" s="54">
        <v>0</v>
      </c>
      <c r="G600" s="54">
        <v>0</v>
      </c>
      <c r="H600" s="18">
        <f t="shared" si="46"/>
        <v>0</v>
      </c>
    </row>
    <row r="601" spans="1:12" s="7" customFormat="1" ht="18" x14ac:dyDescent="0.25">
      <c r="A601" s="23"/>
      <c r="B601" s="23" t="s">
        <v>117</v>
      </c>
      <c r="C601" s="24">
        <f t="shared" ref="C601:G601" si="47">SUM(C593:C600)</f>
        <v>6121853</v>
      </c>
      <c r="D601" s="24">
        <f t="shared" si="47"/>
        <v>100000</v>
      </c>
      <c r="E601" s="24">
        <f t="shared" si="47"/>
        <v>100000</v>
      </c>
      <c r="F601" s="24">
        <f t="shared" si="47"/>
        <v>100000</v>
      </c>
      <c r="G601" s="24">
        <f t="shared" si="47"/>
        <v>100000</v>
      </c>
      <c r="H601" s="24">
        <f t="shared" si="46"/>
        <v>6521853</v>
      </c>
    </row>
    <row r="602" spans="1:12" s="7" customFormat="1" ht="15.75" x14ac:dyDescent="0.25">
      <c r="A602" s="16"/>
      <c r="B602" s="2"/>
      <c r="C602" s="9"/>
      <c r="D602" s="9"/>
      <c r="E602" s="9"/>
      <c r="F602" s="9"/>
      <c r="G602" s="9"/>
      <c r="H602" s="18"/>
    </row>
    <row r="603" spans="1:12" ht="15.75" x14ac:dyDescent="0.25">
      <c r="A603" s="11"/>
      <c r="B603" s="13" t="s">
        <v>112</v>
      </c>
      <c r="C603" s="9"/>
      <c r="D603" s="9"/>
      <c r="E603" s="9"/>
      <c r="F603" s="9"/>
      <c r="G603" s="9"/>
      <c r="H603" s="3"/>
    </row>
    <row r="604" spans="1:12" ht="15.75" x14ac:dyDescent="0.25">
      <c r="A604" s="12" t="s">
        <v>109</v>
      </c>
      <c r="B604" s="2" t="s">
        <v>862</v>
      </c>
      <c r="C604" s="54">
        <v>180000</v>
      </c>
      <c r="D604" s="54">
        <v>0</v>
      </c>
      <c r="E604" s="54">
        <v>0</v>
      </c>
      <c r="F604" s="54">
        <v>0</v>
      </c>
      <c r="G604" s="54">
        <v>0</v>
      </c>
      <c r="H604" s="18">
        <f>SUM(C604:G604)</f>
        <v>180000</v>
      </c>
      <c r="I604" s="7"/>
      <c r="J604" s="7"/>
      <c r="K604" s="7"/>
      <c r="L604" s="7"/>
    </row>
    <row r="605" spans="1:12" ht="15.75" x14ac:dyDescent="0.25">
      <c r="A605" s="12" t="s">
        <v>108</v>
      </c>
      <c r="B605" s="2" t="s">
        <v>860</v>
      </c>
      <c r="C605" s="54">
        <v>60500</v>
      </c>
      <c r="D605" s="54">
        <v>150000</v>
      </c>
      <c r="E605" s="54">
        <v>150000</v>
      </c>
      <c r="F605" s="54">
        <v>150000</v>
      </c>
      <c r="G605" s="54">
        <v>150000</v>
      </c>
      <c r="H605" s="18">
        <f>SUM(C605:G605)</f>
        <v>660500</v>
      </c>
      <c r="I605" s="7"/>
      <c r="J605" s="7"/>
      <c r="K605" s="7"/>
      <c r="L605" s="7"/>
    </row>
    <row r="606" spans="1:12" ht="15.75" x14ac:dyDescent="0.25">
      <c r="A606" s="12" t="s">
        <v>108</v>
      </c>
      <c r="B606" s="2" t="s">
        <v>861</v>
      </c>
      <c r="C606" s="54">
        <v>40500</v>
      </c>
      <c r="D606" s="54">
        <v>150000</v>
      </c>
      <c r="E606" s="54">
        <v>150000</v>
      </c>
      <c r="F606" s="54">
        <v>150000</v>
      </c>
      <c r="G606" s="54">
        <v>150000</v>
      </c>
      <c r="H606" s="18">
        <f>SUM(C606:G606)</f>
        <v>640500</v>
      </c>
      <c r="I606" s="7"/>
      <c r="J606" s="7"/>
      <c r="K606" s="7"/>
      <c r="L606" s="7"/>
    </row>
    <row r="607" spans="1:12" ht="15.75" x14ac:dyDescent="0.25">
      <c r="A607" s="12" t="s">
        <v>877</v>
      </c>
      <c r="B607" s="2" t="s">
        <v>807</v>
      </c>
      <c r="C607" s="54"/>
      <c r="D607" s="54">
        <v>0</v>
      </c>
      <c r="E607" s="54">
        <v>0</v>
      </c>
      <c r="F607" s="54">
        <v>0</v>
      </c>
      <c r="G607" s="54">
        <v>0</v>
      </c>
      <c r="H607" s="18">
        <f>SUM(C607:G607)</f>
        <v>0</v>
      </c>
    </row>
    <row r="608" spans="1:12" ht="15.75" x14ac:dyDescent="0.25">
      <c r="A608" s="12" t="s">
        <v>877</v>
      </c>
      <c r="B608" s="2" t="s">
        <v>879</v>
      </c>
      <c r="C608" s="54"/>
      <c r="D608" s="54">
        <v>6000</v>
      </c>
      <c r="E608" s="54">
        <v>6000</v>
      </c>
      <c r="F608" s="54">
        <v>6000</v>
      </c>
      <c r="G608" s="54">
        <v>6000</v>
      </c>
      <c r="H608" s="18">
        <f>SUM(C608:G608)</f>
        <v>24000</v>
      </c>
    </row>
    <row r="609" spans="1:12" ht="15.75" x14ac:dyDescent="0.25">
      <c r="A609" s="12" t="s">
        <v>882</v>
      </c>
      <c r="B609" s="2" t="s">
        <v>883</v>
      </c>
      <c r="C609" s="54"/>
      <c r="D609" s="54"/>
      <c r="E609" s="54">
        <v>15000</v>
      </c>
      <c r="F609" s="54"/>
      <c r="G609" s="54"/>
      <c r="H609" s="18"/>
    </row>
    <row r="610" spans="1:12" ht="15.75" x14ac:dyDescent="0.25">
      <c r="A610" s="12" t="s">
        <v>882</v>
      </c>
      <c r="B610" s="2" t="s">
        <v>872</v>
      </c>
      <c r="C610" s="54"/>
      <c r="D610" s="54"/>
      <c r="E610" s="54"/>
      <c r="F610" s="54"/>
      <c r="G610" s="54"/>
      <c r="H610" s="18"/>
    </row>
    <row r="611" spans="1:12" ht="15.75" x14ac:dyDescent="0.25">
      <c r="A611" s="12" t="s">
        <v>882</v>
      </c>
      <c r="B611" s="2" t="s">
        <v>884</v>
      </c>
      <c r="C611" s="54"/>
      <c r="D611" s="54">
        <v>0</v>
      </c>
      <c r="E611" s="54">
        <v>0</v>
      </c>
      <c r="F611" s="54">
        <v>73000</v>
      </c>
      <c r="G611" s="54">
        <v>0</v>
      </c>
      <c r="H611" s="18"/>
    </row>
    <row r="612" spans="1:12" ht="15.75" x14ac:dyDescent="0.25">
      <c r="A612" s="12" t="s">
        <v>882</v>
      </c>
      <c r="B612" s="2" t="s">
        <v>889</v>
      </c>
      <c r="C612" s="54"/>
      <c r="D612" s="54">
        <v>40000</v>
      </c>
      <c r="E612" s="54">
        <v>0</v>
      </c>
      <c r="F612" s="54">
        <v>0</v>
      </c>
      <c r="G612" s="54">
        <v>0</v>
      </c>
      <c r="H612" s="18"/>
    </row>
    <row r="613" spans="1:12" ht="15.75" x14ac:dyDescent="0.25">
      <c r="A613" s="12" t="s">
        <v>882</v>
      </c>
      <c r="B613" s="2" t="s">
        <v>890</v>
      </c>
      <c r="C613" s="54"/>
      <c r="D613" s="54">
        <v>0</v>
      </c>
      <c r="E613" s="54">
        <v>50000</v>
      </c>
      <c r="F613" s="54">
        <v>0</v>
      </c>
      <c r="G613" s="54">
        <v>0</v>
      </c>
      <c r="H613" s="18"/>
    </row>
    <row r="614" spans="1:12" ht="15.75" x14ac:dyDescent="0.25">
      <c r="A614" s="12" t="s">
        <v>882</v>
      </c>
      <c r="B614" s="2" t="s">
        <v>885</v>
      </c>
      <c r="C614" s="54"/>
      <c r="D614" s="54">
        <v>0</v>
      </c>
      <c r="E614" s="54">
        <v>0</v>
      </c>
      <c r="F614" s="54">
        <v>0</v>
      </c>
      <c r="G614" s="54">
        <v>35000</v>
      </c>
      <c r="H614" s="18"/>
    </row>
    <row r="615" spans="1:12" ht="15.75" x14ac:dyDescent="0.25">
      <c r="A615" s="12" t="s">
        <v>882</v>
      </c>
      <c r="B615" s="2" t="s">
        <v>888</v>
      </c>
      <c r="C615" s="54"/>
      <c r="D615" s="54">
        <v>60000</v>
      </c>
      <c r="E615" s="54">
        <v>0</v>
      </c>
      <c r="F615" s="54">
        <v>0</v>
      </c>
      <c r="G615" s="54">
        <v>0</v>
      </c>
      <c r="H615" s="18"/>
    </row>
    <row r="616" spans="1:12" ht="15.75" x14ac:dyDescent="0.25">
      <c r="A616" s="12" t="s">
        <v>886</v>
      </c>
      <c r="B616" s="2" t="s">
        <v>887</v>
      </c>
      <c r="C616" s="54"/>
      <c r="D616" s="54">
        <v>0</v>
      </c>
      <c r="E616" s="54">
        <v>0</v>
      </c>
      <c r="F616" s="54">
        <v>0</v>
      </c>
      <c r="G616" s="54">
        <v>100000</v>
      </c>
      <c r="H616" s="18"/>
    </row>
    <row r="617" spans="1:12" ht="15.75" x14ac:dyDescent="0.25">
      <c r="A617" s="12" t="s">
        <v>881</v>
      </c>
      <c r="B617" s="2" t="s">
        <v>871</v>
      </c>
      <c r="C617" s="54"/>
      <c r="D617" s="54"/>
      <c r="E617" s="54"/>
      <c r="F617" s="54"/>
      <c r="G617" s="54"/>
      <c r="H617" s="18"/>
    </row>
    <row r="618" spans="1:12" ht="15.75" x14ac:dyDescent="0.25">
      <c r="A618" s="12" t="s">
        <v>880</v>
      </c>
      <c r="B618" s="2" t="s">
        <v>894</v>
      </c>
      <c r="C618" s="54"/>
      <c r="D618" s="54"/>
      <c r="E618" s="54"/>
      <c r="F618" s="54"/>
      <c r="G618" s="54"/>
      <c r="H618" s="18"/>
    </row>
    <row r="619" spans="1:12" ht="15.75" x14ac:dyDescent="0.25">
      <c r="A619" s="12" t="s">
        <v>876</v>
      </c>
      <c r="B619" s="2" t="s">
        <v>806</v>
      </c>
      <c r="C619" s="54"/>
      <c r="D619" s="54">
        <v>0</v>
      </c>
      <c r="E619" s="54">
        <v>0</v>
      </c>
      <c r="F619" s="54">
        <v>0</v>
      </c>
      <c r="G619" s="54">
        <v>0</v>
      </c>
      <c r="H619" s="18">
        <f t="shared" ref="H619:H624" si="48">SUM(C619:G619)</f>
        <v>0</v>
      </c>
    </row>
    <row r="620" spans="1:12" ht="15.75" x14ac:dyDescent="0.25">
      <c r="A620" s="12" t="s">
        <v>875</v>
      </c>
      <c r="B620" s="2" t="s">
        <v>805</v>
      </c>
      <c r="C620" s="54"/>
      <c r="D620" s="54">
        <v>0</v>
      </c>
      <c r="E620" s="54">
        <v>0</v>
      </c>
      <c r="F620" s="54">
        <v>0</v>
      </c>
      <c r="G620" s="54">
        <v>0</v>
      </c>
      <c r="H620" s="18">
        <f t="shared" si="48"/>
        <v>0</v>
      </c>
    </row>
    <row r="621" spans="1:12" ht="15.75" x14ac:dyDescent="0.25">
      <c r="A621" s="12" t="s">
        <v>878</v>
      </c>
      <c r="B621" s="2" t="s">
        <v>804</v>
      </c>
      <c r="C621" s="54"/>
      <c r="D621" s="54">
        <v>0</v>
      </c>
      <c r="E621" s="54">
        <v>0</v>
      </c>
      <c r="F621" s="54">
        <v>0</v>
      </c>
      <c r="G621" s="54">
        <v>0</v>
      </c>
      <c r="H621" s="18">
        <f t="shared" si="48"/>
        <v>0</v>
      </c>
    </row>
    <row r="622" spans="1:12" s="7" customFormat="1" ht="15.75" x14ac:dyDescent="0.25">
      <c r="A622" s="12" t="s">
        <v>803</v>
      </c>
      <c r="B622" s="2" t="s">
        <v>895</v>
      </c>
      <c r="C622" s="54"/>
      <c r="D622" s="54">
        <v>0</v>
      </c>
      <c r="E622" s="54">
        <v>0</v>
      </c>
      <c r="F622" s="54">
        <v>0</v>
      </c>
      <c r="G622" s="54">
        <v>0</v>
      </c>
      <c r="H622" s="18">
        <f t="shared" si="48"/>
        <v>0</v>
      </c>
      <c r="I622" s="6"/>
      <c r="J622" s="6"/>
      <c r="K622" s="6"/>
      <c r="L622" s="6"/>
    </row>
    <row r="623" spans="1:12" s="7" customFormat="1" ht="15.75" x14ac:dyDescent="0.25">
      <c r="A623" s="12" t="s">
        <v>110</v>
      </c>
      <c r="B623" s="2" t="s">
        <v>863</v>
      </c>
      <c r="C623" s="54">
        <f>219000/2</f>
        <v>109500</v>
      </c>
      <c r="D623" s="54">
        <v>100000</v>
      </c>
      <c r="E623" s="54">
        <v>100000</v>
      </c>
      <c r="F623" s="54">
        <v>100000</v>
      </c>
      <c r="G623" s="54">
        <v>100000</v>
      </c>
      <c r="H623" s="18">
        <f t="shared" si="48"/>
        <v>509500</v>
      </c>
    </row>
    <row r="624" spans="1:12" s="7" customFormat="1" ht="15.75" x14ac:dyDescent="0.25">
      <c r="A624" s="12" t="s">
        <v>110</v>
      </c>
      <c r="B624" s="2" t="s">
        <v>864</v>
      </c>
      <c r="C624" s="54">
        <f>219000/2</f>
        <v>109500</v>
      </c>
      <c r="D624" s="54">
        <v>100000</v>
      </c>
      <c r="E624" s="54">
        <v>100000</v>
      </c>
      <c r="F624" s="54">
        <v>100000</v>
      </c>
      <c r="G624" s="54">
        <v>100000</v>
      </c>
      <c r="H624" s="18">
        <f t="shared" si="48"/>
        <v>509500</v>
      </c>
    </row>
    <row r="625" spans="1:8" s="7" customFormat="1" ht="18" x14ac:dyDescent="0.25">
      <c r="A625" s="23"/>
      <c r="B625" s="23" t="s">
        <v>111</v>
      </c>
      <c r="C625" s="24">
        <f t="shared" ref="C625:G625" si="49">SUM(C604:C624)</f>
        <v>500000</v>
      </c>
      <c r="D625" s="24">
        <f t="shared" si="49"/>
        <v>606000</v>
      </c>
      <c r="E625" s="24">
        <f t="shared" si="49"/>
        <v>571000</v>
      </c>
      <c r="F625" s="24">
        <f t="shared" si="49"/>
        <v>579000</v>
      </c>
      <c r="G625" s="24">
        <f t="shared" si="49"/>
        <v>641000</v>
      </c>
      <c r="H625" s="24">
        <f t="shared" ref="H625" si="50">SUM(C625:G625)</f>
        <v>2897000</v>
      </c>
    </row>
    <row r="626" spans="1:8" s="7" customFormat="1" ht="15.75" x14ac:dyDescent="0.25">
      <c r="A626" s="16"/>
      <c r="B626" s="2"/>
      <c r="C626" s="9"/>
      <c r="D626" s="9"/>
      <c r="E626" s="9"/>
      <c r="F626" s="9"/>
      <c r="G626" s="9"/>
      <c r="H626" s="18"/>
    </row>
    <row r="627" spans="1:8" s="7" customFormat="1" ht="15.75" x14ac:dyDescent="0.25">
      <c r="A627" s="12" t="s">
        <v>82</v>
      </c>
      <c r="B627" s="5" t="s">
        <v>865</v>
      </c>
      <c r="C627" s="9"/>
      <c r="D627" s="9">
        <f>100000-73596</f>
        <v>26404</v>
      </c>
      <c r="E627" s="9">
        <f>100000-19707</f>
        <v>80293</v>
      </c>
      <c r="F627" s="9">
        <f>100000-37264</f>
        <v>62736</v>
      </c>
      <c r="G627" s="9">
        <f>100000-9911</f>
        <v>90089</v>
      </c>
      <c r="H627" s="59">
        <f t="shared" ref="H627:H629" si="51">SUM(C627:G627)</f>
        <v>259522</v>
      </c>
    </row>
    <row r="628" spans="1:8" s="7" customFormat="1" ht="15.75" x14ac:dyDescent="0.25">
      <c r="A628" s="12" t="s">
        <v>243</v>
      </c>
      <c r="B628" s="5" t="s">
        <v>244</v>
      </c>
      <c r="C628" s="54"/>
      <c r="D628" s="54">
        <v>0</v>
      </c>
      <c r="E628" s="54">
        <v>0</v>
      </c>
      <c r="F628" s="54">
        <v>0</v>
      </c>
      <c r="G628" s="54">
        <v>0</v>
      </c>
      <c r="H628" s="59">
        <f t="shared" si="51"/>
        <v>0</v>
      </c>
    </row>
    <row r="629" spans="1:8" s="7" customFormat="1" ht="18" x14ac:dyDescent="0.25">
      <c r="A629" s="68"/>
      <c r="B629" s="23" t="s">
        <v>258</v>
      </c>
      <c r="C629" s="24">
        <f>SUM(C627:C628)</f>
        <v>0</v>
      </c>
      <c r="D629" s="24">
        <f>SUM(D627:D628)</f>
        <v>26404</v>
      </c>
      <c r="E629" s="24">
        <f>SUM(E627:E628)</f>
        <v>80293</v>
      </c>
      <c r="F629" s="24">
        <f>SUM(F627:F628)</f>
        <v>62736</v>
      </c>
      <c r="G629" s="24">
        <f>SUM(G627:G628)</f>
        <v>90089</v>
      </c>
      <c r="H629" s="24">
        <f t="shared" si="51"/>
        <v>259522</v>
      </c>
    </row>
    <row r="630" spans="1:8" s="7" customFormat="1" ht="15.75" x14ac:dyDescent="0.25">
      <c r="A630" s="69"/>
      <c r="B630" s="66"/>
      <c r="C630" s="8"/>
      <c r="D630" s="8"/>
      <c r="E630" s="8"/>
      <c r="F630" s="8"/>
      <c r="G630" s="8"/>
      <c r="H630" s="40"/>
    </row>
    <row r="631" spans="1:8" s="7" customFormat="1" ht="18" x14ac:dyDescent="0.25">
      <c r="A631" s="71"/>
      <c r="B631" s="67" t="s">
        <v>176</v>
      </c>
      <c r="C631" s="27">
        <f>SUM(C317+C408+C492+C590+C601+C625+C629)</f>
        <v>132221853</v>
      </c>
      <c r="D631" s="27">
        <f>SUM(D317+D408+D492+D590+D601+D625+D629)</f>
        <v>162914773</v>
      </c>
      <c r="E631" s="27">
        <f>SUM(E317+E408+E492+E590+E601+E625+E629)</f>
        <v>178569492</v>
      </c>
      <c r="F631" s="27">
        <f>SUM(F317+F408+F492+F590+F601+F625+F629)</f>
        <v>139263092</v>
      </c>
      <c r="G631" s="27">
        <f>SUM(G317+G408+G492+G590+G601+G625+G629)</f>
        <v>112865000</v>
      </c>
      <c r="H631" s="27">
        <f>SUM(C631:G631)</f>
        <v>725834210</v>
      </c>
    </row>
    <row r="632" spans="1:8" s="7" customFormat="1" ht="18" hidden="1" x14ac:dyDescent="0.25">
      <c r="A632" s="30"/>
      <c r="B632" s="33" t="s">
        <v>177</v>
      </c>
      <c r="C632" s="31" t="e">
        <f>#REF!</f>
        <v>#REF!</v>
      </c>
      <c r="D632" s="31" t="e">
        <f>#REF!</f>
        <v>#REF!</v>
      </c>
      <c r="E632" s="31" t="e">
        <f>#REF!</f>
        <v>#REF!</v>
      </c>
      <c r="F632" s="31" t="e">
        <f>#REF!</f>
        <v>#REF!</v>
      </c>
      <c r="G632" s="31" t="e">
        <f>#REF!</f>
        <v>#REF!</v>
      </c>
      <c r="H632" s="31" t="e">
        <f>SUM(C632:G632)</f>
        <v>#REF!</v>
      </c>
    </row>
    <row r="633" spans="1:8" s="7" customFormat="1" ht="18" hidden="1" x14ac:dyDescent="0.25">
      <c r="A633" s="32"/>
      <c r="B633" s="30" t="s">
        <v>346</v>
      </c>
      <c r="C633" s="31">
        <f>150000000-5000000</f>
        <v>145000000</v>
      </c>
      <c r="D633" s="31">
        <v>150000000</v>
      </c>
      <c r="E633" s="31">
        <v>150000000</v>
      </c>
      <c r="F633" s="31">
        <v>150000000</v>
      </c>
      <c r="G633" s="31">
        <v>150000000</v>
      </c>
      <c r="H633" s="31">
        <f>SUM(C633:G633)</f>
        <v>745000000</v>
      </c>
    </row>
    <row r="634" spans="1:8" s="7" customFormat="1" ht="18" hidden="1" x14ac:dyDescent="0.25">
      <c r="A634" s="32"/>
      <c r="B634" s="30" t="s">
        <v>347</v>
      </c>
      <c r="C634" s="31" t="e">
        <f t="shared" ref="C634:G634" si="52">+C633-C632</f>
        <v>#REF!</v>
      </c>
      <c r="D634" s="31" t="e">
        <f t="shared" si="52"/>
        <v>#REF!</v>
      </c>
      <c r="E634" s="31" t="e">
        <f t="shared" si="52"/>
        <v>#REF!</v>
      </c>
      <c r="F634" s="31" t="e">
        <f t="shared" si="52"/>
        <v>#REF!</v>
      </c>
      <c r="G634" s="31" t="e">
        <f t="shared" si="52"/>
        <v>#REF!</v>
      </c>
      <c r="H634" s="31" t="e">
        <f>SUM(C634:G634)</f>
        <v>#REF!</v>
      </c>
    </row>
    <row r="635" spans="1:8" s="7" customFormat="1" ht="15" hidden="1" x14ac:dyDescent="0.2">
      <c r="A635" s="69"/>
      <c r="B635" s="2"/>
      <c r="C635" s="8"/>
      <c r="D635" s="8"/>
      <c r="E635" s="8"/>
      <c r="F635" s="8"/>
      <c r="G635" s="8"/>
      <c r="H635" s="9"/>
    </row>
    <row r="636" spans="1:8" s="7" customFormat="1" ht="15" hidden="1" x14ac:dyDescent="0.2">
      <c r="A636" s="69"/>
      <c r="B636" s="2"/>
      <c r="C636" s="8"/>
      <c r="D636" s="8"/>
      <c r="E636" s="8"/>
      <c r="F636" s="8"/>
      <c r="G636" s="8"/>
      <c r="H636" s="9"/>
    </row>
    <row r="637" spans="1:8" s="7" customFormat="1" ht="15" x14ac:dyDescent="0.2">
      <c r="A637" s="69"/>
      <c r="B637" s="2"/>
      <c r="C637" s="8"/>
      <c r="D637" s="8"/>
      <c r="E637" s="8"/>
      <c r="F637" s="8"/>
      <c r="G637" s="8"/>
      <c r="H637" s="9"/>
    </row>
    <row r="638" spans="1:8" s="7" customFormat="1" ht="18" x14ac:dyDescent="0.25">
      <c r="A638" s="16"/>
      <c r="B638" s="72" t="s">
        <v>949</v>
      </c>
      <c r="C638" s="8"/>
      <c r="D638" s="8"/>
      <c r="E638" s="8"/>
      <c r="F638" s="8"/>
      <c r="G638" s="8"/>
      <c r="H638" s="9"/>
    </row>
    <row r="639" spans="1:8" s="7" customFormat="1" ht="15.75" x14ac:dyDescent="0.25">
      <c r="A639" s="70" t="s">
        <v>233</v>
      </c>
      <c r="B639" s="2" t="s">
        <v>175</v>
      </c>
      <c r="C639" s="54">
        <f>34579367+1773633</f>
        <v>36353000</v>
      </c>
      <c r="D639" s="54">
        <f>8889918-4818202</f>
        <v>4071716</v>
      </c>
      <c r="E639" s="54">
        <v>0</v>
      </c>
      <c r="F639" s="54">
        <v>0</v>
      </c>
      <c r="G639" s="54">
        <v>0</v>
      </c>
      <c r="H639" s="18">
        <f>SUM(C639:G639)</f>
        <v>40424716</v>
      </c>
    </row>
    <row r="640" spans="1:8" ht="15.75" x14ac:dyDescent="0.25">
      <c r="A640" s="12"/>
      <c r="B640" s="2"/>
      <c r="C640" s="54"/>
      <c r="D640" s="54"/>
      <c r="E640" s="54"/>
      <c r="F640" s="54"/>
      <c r="G640" s="54"/>
      <c r="H640" s="18"/>
    </row>
    <row r="641" spans="1:8" s="7" customFormat="1" ht="15.75" x14ac:dyDescent="0.25">
      <c r="A641" s="70" t="s">
        <v>948</v>
      </c>
      <c r="B641" s="2" t="s">
        <v>950</v>
      </c>
      <c r="C641" s="54">
        <f>11228000*0+7801167</f>
        <v>7801167</v>
      </c>
      <c r="D641" s="54">
        <f>51587000*0+33334591</f>
        <v>33334591</v>
      </c>
      <c r="E641" s="54">
        <f>99489000*0+93908487</f>
        <v>93908487</v>
      </c>
      <c r="F641" s="54">
        <f>227058000*0+329291532</f>
        <v>329291532</v>
      </c>
      <c r="G641" s="54">
        <f>189120000*0+74175313</f>
        <v>74175313</v>
      </c>
      <c r="H641" s="18">
        <f>SUM(C641:G641)</f>
        <v>538511090</v>
      </c>
    </row>
    <row r="642" spans="1:8" s="7" customFormat="1" ht="15.75" x14ac:dyDescent="0.25">
      <c r="A642" s="70" t="s">
        <v>948</v>
      </c>
      <c r="B642" s="2" t="s">
        <v>951</v>
      </c>
      <c r="C642" s="54">
        <f>(3574000+100000)*0+1708980</f>
        <v>1708980</v>
      </c>
      <c r="D642" s="54">
        <f>36173000*0+16928159</f>
        <v>16928159</v>
      </c>
      <c r="E642" s="54">
        <f>42573000*0+52274009</f>
        <v>52274009</v>
      </c>
      <c r="F642" s="54">
        <f>34665000*0+60366926</f>
        <v>60366926</v>
      </c>
      <c r="G642" s="54">
        <f>33063000*0+41531926</f>
        <v>41531926</v>
      </c>
      <c r="H642" s="18">
        <f t="shared" ref="H642" si="53">SUM(C642:G642)</f>
        <v>172810000</v>
      </c>
    </row>
    <row r="643" spans="1:8" s="7" customFormat="1" ht="18" x14ac:dyDescent="0.25">
      <c r="A643" s="23"/>
      <c r="B643" s="23" t="s">
        <v>177</v>
      </c>
      <c r="C643" s="24">
        <f>SUM(C639:C642)</f>
        <v>45863147</v>
      </c>
      <c r="D643" s="24">
        <f t="shared" ref="D643:H643" si="54">SUM(D639:D642)</f>
        <v>54334466</v>
      </c>
      <c r="E643" s="24">
        <f t="shared" si="54"/>
        <v>146182496</v>
      </c>
      <c r="F643" s="24">
        <f t="shared" si="54"/>
        <v>389658458</v>
      </c>
      <c r="G643" s="24">
        <f t="shared" si="54"/>
        <v>115707239</v>
      </c>
      <c r="H643" s="24">
        <f t="shared" si="54"/>
        <v>751745806</v>
      </c>
    </row>
    <row r="644" spans="1:8" s="7" customFormat="1" ht="15" x14ac:dyDescent="0.2">
      <c r="A644" s="16"/>
      <c r="B644" s="2"/>
      <c r="C644" s="8"/>
      <c r="D644" s="8"/>
      <c r="E644" s="8"/>
      <c r="F644" s="8"/>
      <c r="G644" s="8"/>
      <c r="H644" s="9"/>
    </row>
    <row r="645" spans="1:8" s="7" customFormat="1" ht="15" x14ac:dyDescent="0.2">
      <c r="A645" s="16"/>
      <c r="B645" s="2"/>
      <c r="C645" s="8"/>
      <c r="D645" s="8"/>
      <c r="E645" s="8"/>
      <c r="F645" s="8"/>
      <c r="G645" s="8"/>
      <c r="H645" s="9"/>
    </row>
    <row r="646" spans="1:8" s="7" customFormat="1" ht="18" x14ac:dyDescent="0.25">
      <c r="A646" s="71"/>
      <c r="B646" s="67" t="s">
        <v>952</v>
      </c>
      <c r="C646" s="27">
        <f>+C631+C643</f>
        <v>178085000</v>
      </c>
      <c r="D646" s="27">
        <f>+D631+D643</f>
        <v>217249239</v>
      </c>
      <c r="E646" s="27">
        <f>+E631+E643</f>
        <v>324751988</v>
      </c>
      <c r="F646" s="27">
        <f>+F631+F643</f>
        <v>528921550</v>
      </c>
      <c r="G646" s="27">
        <f>+G631+G643</f>
        <v>228572239</v>
      </c>
      <c r="H646" s="27">
        <f>SUM(C646:G646)</f>
        <v>1477580016</v>
      </c>
    </row>
  </sheetData>
  <sortState ref="A589:O609">
    <sortCondition ref="A589"/>
  </sortState>
  <printOptions horizontalCentered="1"/>
  <pageMargins left="0" right="0" top="0.5" bottom="0.25" header="0.25" footer="0"/>
  <pageSetup scale="48" fitToHeight="0" orientation="portrait" r:id="rId1"/>
  <rowBreaks count="2" manualBreakCount="2">
    <brk id="554" max="7" man="1"/>
    <brk id="629" max="7" man="1"/>
  </rowBreaks>
  <ignoredErrors>
    <ignoredError sqref="H47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2012-2016 Update</vt:lpstr>
      <vt:lpstr>'2012-2016 Update'!Print_Area</vt:lpstr>
      <vt:lpstr>'2012-2016 Update'!Print_Titles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2013-08-13T17:04:08Z</dcterms:created>
  <dcterms:modified xsi:type="dcterms:W3CDTF">2013-08-13T17:04:13Z</dcterms:modified>
</cp:coreProperties>
</file>