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2556" yWindow="6288" windowWidth="11592" windowHeight="7416" tabRatio="779"/>
  </bookViews>
  <sheets>
    <sheet name="Monthly NEL" sheetId="26" r:id="rId1"/>
    <sheet name="FORECAST" sheetId="7" r:id="rId2"/>
    <sheet name="Demand Summary" sheetId="25" r:id="rId3"/>
    <sheet name="Rationale" sheetId="8" r:id="rId4"/>
    <sheet name="2014 Forecast Sources" sheetId="16" r:id="rId5"/>
    <sheet name="FPL Forecast Comparisons" sheetId="24" r:id="rId6"/>
    <sheet name="EIA" sheetId="22" r:id="rId7"/>
  </sheets>
  <calcPr calcId="145621"/>
</workbook>
</file>

<file path=xl/calcChain.xml><?xml version="1.0" encoding="utf-8"?>
<calcChain xmlns="http://schemas.openxmlformats.org/spreadsheetml/2006/main">
  <c r="O26" i="7" l="1"/>
  <c r="C26" i="7"/>
  <c r="M14" i="7"/>
  <c r="M15" i="7"/>
  <c r="M16" i="7"/>
  <c r="M17" i="7"/>
  <c r="M18" i="7"/>
  <c r="I13" i="25" l="1"/>
  <c r="I14" i="25"/>
  <c r="I15" i="25"/>
  <c r="I12" i="25"/>
  <c r="F9" i="25" l="1"/>
  <c r="C9" i="25"/>
  <c r="F8" i="25"/>
  <c r="C8" i="25"/>
  <c r="D9" i="26"/>
  <c r="D8" i="26"/>
  <c r="D7" i="26"/>
  <c r="D6" i="26"/>
  <c r="E17" i="26"/>
  <c r="B159" i="26" l="1"/>
  <c r="B171" i="26" s="1"/>
  <c r="B183" i="26" s="1"/>
  <c r="B195" i="26" s="1"/>
  <c r="B207" i="26" s="1"/>
  <c r="B219" i="26" s="1"/>
  <c r="B231" i="26" s="1"/>
  <c r="C136" i="26"/>
  <c r="B133" i="26"/>
  <c r="B145" i="26" s="1"/>
  <c r="B157" i="26" s="1"/>
  <c r="B169" i="26" s="1"/>
  <c r="B181" i="26" s="1"/>
  <c r="B193" i="26" s="1"/>
  <c r="B205" i="26" s="1"/>
  <c r="B217" i="26" s="1"/>
  <c r="B229" i="26" s="1"/>
  <c r="A130" i="26"/>
  <c r="A142" i="26" s="1"/>
  <c r="A154" i="26" s="1"/>
  <c r="A166" i="26" s="1"/>
  <c r="A178" i="26" s="1"/>
  <c r="A190" i="26" s="1"/>
  <c r="A202" i="26" s="1"/>
  <c r="A214" i="26" s="1"/>
  <c r="A226" i="26" s="1"/>
  <c r="C128" i="26"/>
  <c r="C125" i="26"/>
  <c r="B125" i="26"/>
  <c r="B137" i="26" s="1"/>
  <c r="B149" i="26" s="1"/>
  <c r="B161" i="26" s="1"/>
  <c r="B173" i="26" s="1"/>
  <c r="B185" i="26" s="1"/>
  <c r="B197" i="26" s="1"/>
  <c r="B209" i="26" s="1"/>
  <c r="B221" i="26" s="1"/>
  <c r="B233" i="26" s="1"/>
  <c r="A125" i="26"/>
  <c r="A137" i="26" s="1"/>
  <c r="A149" i="26" s="1"/>
  <c r="A161" i="26" s="1"/>
  <c r="A173" i="26" s="1"/>
  <c r="A185" i="26" s="1"/>
  <c r="A197" i="26" s="1"/>
  <c r="A209" i="26" s="1"/>
  <c r="A221" i="26" s="1"/>
  <c r="A233" i="26" s="1"/>
  <c r="C124" i="26"/>
  <c r="B124" i="26"/>
  <c r="B136" i="26" s="1"/>
  <c r="B148" i="26" s="1"/>
  <c r="B160" i="26" s="1"/>
  <c r="B172" i="26" s="1"/>
  <c r="B184" i="26" s="1"/>
  <c r="B196" i="26" s="1"/>
  <c r="B208" i="26" s="1"/>
  <c r="B220" i="26" s="1"/>
  <c r="B232" i="26" s="1"/>
  <c r="A124" i="26"/>
  <c r="A136" i="26" s="1"/>
  <c r="A148" i="26" s="1"/>
  <c r="A160" i="26" s="1"/>
  <c r="A172" i="26" s="1"/>
  <c r="A184" i="26" s="1"/>
  <c r="A196" i="26" s="1"/>
  <c r="A208" i="26" s="1"/>
  <c r="A220" i="26" s="1"/>
  <c r="A232" i="26" s="1"/>
  <c r="C123" i="26"/>
  <c r="C135" i="26" s="1"/>
  <c r="C147" i="26" s="1"/>
  <c r="B123" i="26"/>
  <c r="B135" i="26" s="1"/>
  <c r="B147" i="26" s="1"/>
  <c r="A123" i="26"/>
  <c r="A135" i="26" s="1"/>
  <c r="A147" i="26" s="1"/>
  <c r="A159" i="26" s="1"/>
  <c r="A171" i="26" s="1"/>
  <c r="A183" i="26" s="1"/>
  <c r="A195" i="26" s="1"/>
  <c r="A207" i="26" s="1"/>
  <c r="A219" i="26" s="1"/>
  <c r="A231" i="26" s="1"/>
  <c r="C122" i="26"/>
  <c r="C134" i="26" s="1"/>
  <c r="B122" i="26"/>
  <c r="B134" i="26" s="1"/>
  <c r="B146" i="26" s="1"/>
  <c r="B158" i="26" s="1"/>
  <c r="B170" i="26" s="1"/>
  <c r="B182" i="26" s="1"/>
  <c r="B194" i="26" s="1"/>
  <c r="B206" i="26" s="1"/>
  <c r="B218" i="26" s="1"/>
  <c r="B230" i="26" s="1"/>
  <c r="A122" i="26"/>
  <c r="A134" i="26" s="1"/>
  <c r="A146" i="26" s="1"/>
  <c r="A158" i="26" s="1"/>
  <c r="A170" i="26" s="1"/>
  <c r="A182" i="26" s="1"/>
  <c r="A194" i="26" s="1"/>
  <c r="A206" i="26" s="1"/>
  <c r="A218" i="26" s="1"/>
  <c r="A230" i="26" s="1"/>
  <c r="C121" i="26"/>
  <c r="B121" i="26"/>
  <c r="A121" i="26"/>
  <c r="A133" i="26" s="1"/>
  <c r="A145" i="26" s="1"/>
  <c r="A157" i="26" s="1"/>
  <c r="A169" i="26" s="1"/>
  <c r="A181" i="26" s="1"/>
  <c r="A193" i="26" s="1"/>
  <c r="A205" i="26" s="1"/>
  <c r="A217" i="26" s="1"/>
  <c r="A229" i="26" s="1"/>
  <c r="C120" i="26"/>
  <c r="C132" i="26" s="1"/>
  <c r="B120" i="26"/>
  <c r="B132" i="26" s="1"/>
  <c r="B144" i="26" s="1"/>
  <c r="B156" i="26" s="1"/>
  <c r="B168" i="26" s="1"/>
  <c r="B180" i="26" s="1"/>
  <c r="B192" i="26" s="1"/>
  <c r="B204" i="26" s="1"/>
  <c r="B216" i="26" s="1"/>
  <c r="B228" i="26" s="1"/>
  <c r="A120" i="26"/>
  <c r="A132" i="26" s="1"/>
  <c r="A144" i="26" s="1"/>
  <c r="A156" i="26" s="1"/>
  <c r="A168" i="26" s="1"/>
  <c r="A180" i="26" s="1"/>
  <c r="A192" i="26" s="1"/>
  <c r="A204" i="26" s="1"/>
  <c r="A216" i="26" s="1"/>
  <c r="A228" i="26" s="1"/>
  <c r="C119" i="26"/>
  <c r="B119" i="26"/>
  <c r="B131" i="26" s="1"/>
  <c r="B143" i="26" s="1"/>
  <c r="B155" i="26" s="1"/>
  <c r="B167" i="26" s="1"/>
  <c r="B179" i="26" s="1"/>
  <c r="B191" i="26" s="1"/>
  <c r="B203" i="26" s="1"/>
  <c r="B215" i="26" s="1"/>
  <c r="B227" i="26" s="1"/>
  <c r="A119" i="26"/>
  <c r="A131" i="26" s="1"/>
  <c r="A143" i="26" s="1"/>
  <c r="A155" i="26" s="1"/>
  <c r="A167" i="26" s="1"/>
  <c r="A179" i="26" s="1"/>
  <c r="A191" i="26" s="1"/>
  <c r="A203" i="26" s="1"/>
  <c r="A215" i="26" s="1"/>
  <c r="A227" i="26" s="1"/>
  <c r="C118" i="26"/>
  <c r="C130" i="26" s="1"/>
  <c r="B118" i="26"/>
  <c r="B130" i="26" s="1"/>
  <c r="B142" i="26" s="1"/>
  <c r="B154" i="26" s="1"/>
  <c r="B166" i="26" s="1"/>
  <c r="B178" i="26" s="1"/>
  <c r="B190" i="26" s="1"/>
  <c r="B202" i="26" s="1"/>
  <c r="B214" i="26" s="1"/>
  <c r="B226" i="26" s="1"/>
  <c r="A118" i="26"/>
  <c r="C117" i="26"/>
  <c r="B117" i="26"/>
  <c r="B129" i="26" s="1"/>
  <c r="B141" i="26" s="1"/>
  <c r="B153" i="26" s="1"/>
  <c r="B165" i="26" s="1"/>
  <c r="B177" i="26" s="1"/>
  <c r="B189" i="26" s="1"/>
  <c r="B201" i="26" s="1"/>
  <c r="B213" i="26" s="1"/>
  <c r="B225" i="26" s="1"/>
  <c r="A117" i="26"/>
  <c r="A129" i="26" s="1"/>
  <c r="A141" i="26" s="1"/>
  <c r="A153" i="26" s="1"/>
  <c r="A165" i="26" s="1"/>
  <c r="A177" i="26" s="1"/>
  <c r="A189" i="26" s="1"/>
  <c r="A201" i="26" s="1"/>
  <c r="A213" i="26" s="1"/>
  <c r="A225" i="26" s="1"/>
  <c r="C116" i="26"/>
  <c r="B116" i="26"/>
  <c r="B128" i="26" s="1"/>
  <c r="B140" i="26" s="1"/>
  <c r="B152" i="26" s="1"/>
  <c r="B164" i="26" s="1"/>
  <c r="B176" i="26" s="1"/>
  <c r="B188" i="26" s="1"/>
  <c r="B200" i="26" s="1"/>
  <c r="B212" i="26" s="1"/>
  <c r="B224" i="26" s="1"/>
  <c r="A116" i="26"/>
  <c r="A128" i="26" s="1"/>
  <c r="A140" i="26" s="1"/>
  <c r="A152" i="26" s="1"/>
  <c r="A164" i="26" s="1"/>
  <c r="A176" i="26" s="1"/>
  <c r="A188" i="26" s="1"/>
  <c r="A200" i="26" s="1"/>
  <c r="A212" i="26" s="1"/>
  <c r="A224" i="26" s="1"/>
  <c r="C115" i="26"/>
  <c r="B115" i="26"/>
  <c r="B127" i="26" s="1"/>
  <c r="B139" i="26" s="1"/>
  <c r="B151" i="26" s="1"/>
  <c r="B163" i="26" s="1"/>
  <c r="B175" i="26" s="1"/>
  <c r="B187" i="26" s="1"/>
  <c r="B199" i="26" s="1"/>
  <c r="B211" i="26" s="1"/>
  <c r="B223" i="26" s="1"/>
  <c r="A115" i="26"/>
  <c r="A127" i="26" s="1"/>
  <c r="A139" i="26" s="1"/>
  <c r="A151" i="26" s="1"/>
  <c r="A163" i="26" s="1"/>
  <c r="A175" i="26" s="1"/>
  <c r="A187" i="26" s="1"/>
  <c r="A199" i="26" s="1"/>
  <c r="A211" i="26" s="1"/>
  <c r="A223" i="26" s="1"/>
  <c r="C114" i="26"/>
  <c r="C126" i="26" s="1"/>
  <c r="B114" i="26"/>
  <c r="B126" i="26" s="1"/>
  <c r="B138" i="26" s="1"/>
  <c r="B150" i="26" s="1"/>
  <c r="B162" i="26" s="1"/>
  <c r="B174" i="26" s="1"/>
  <c r="B186" i="26" s="1"/>
  <c r="B198" i="26" s="1"/>
  <c r="B210" i="26" s="1"/>
  <c r="B222" i="26" s="1"/>
  <c r="A114" i="26"/>
  <c r="A126" i="26" s="1"/>
  <c r="A138" i="26" s="1"/>
  <c r="A150" i="26" s="1"/>
  <c r="A162" i="26" s="1"/>
  <c r="A174" i="26" s="1"/>
  <c r="A186" i="26" s="1"/>
  <c r="A198" i="26" s="1"/>
  <c r="A210" i="26" s="1"/>
  <c r="A222" i="26" s="1"/>
  <c r="D113" i="26"/>
  <c r="D112" i="26"/>
  <c r="D111" i="26"/>
  <c r="D110" i="26"/>
  <c r="D109" i="26"/>
  <c r="D108" i="26"/>
  <c r="D107" i="26"/>
  <c r="D106" i="26"/>
  <c r="D105" i="26"/>
  <c r="D104" i="26"/>
  <c r="D103" i="26"/>
  <c r="D102" i="26"/>
  <c r="D101" i="26"/>
  <c r="D100" i="26"/>
  <c r="D99" i="26"/>
  <c r="D98" i="26"/>
  <c r="D97" i="26"/>
  <c r="D96" i="26"/>
  <c r="D95" i="26"/>
  <c r="D94" i="26"/>
  <c r="D93" i="26"/>
  <c r="D92" i="26"/>
  <c r="D91" i="26"/>
  <c r="D90" i="26"/>
  <c r="D89" i="26"/>
  <c r="D88" i="26"/>
  <c r="D87" i="26"/>
  <c r="D86" i="26"/>
  <c r="D85" i="26"/>
  <c r="D84" i="26"/>
  <c r="D83" i="26"/>
  <c r="D82" i="26"/>
  <c r="D81" i="26"/>
  <c r="D80" i="26"/>
  <c r="D79" i="26"/>
  <c r="D78" i="26"/>
  <c r="D77" i="26"/>
  <c r="D76" i="26"/>
  <c r="D75" i="26"/>
  <c r="D74" i="26"/>
  <c r="D73" i="26"/>
  <c r="D72" i="26"/>
  <c r="D71" i="26"/>
  <c r="D70" i="26"/>
  <c r="D69" i="26"/>
  <c r="D68" i="26"/>
  <c r="D67" i="26"/>
  <c r="D66" i="26"/>
  <c r="D65" i="26"/>
  <c r="D64" i="26"/>
  <c r="D63" i="26"/>
  <c r="D62" i="26"/>
  <c r="D61" i="26"/>
  <c r="D60" i="26"/>
  <c r="D59" i="26"/>
  <c r="D58" i="26"/>
  <c r="D57" i="26"/>
  <c r="D56" i="26"/>
  <c r="D55" i="26"/>
  <c r="D54" i="26"/>
  <c r="D53" i="26"/>
  <c r="D52" i="26"/>
  <c r="D51" i="26"/>
  <c r="D50" i="26"/>
  <c r="D49" i="26"/>
  <c r="D48" i="26"/>
  <c r="D47" i="26"/>
  <c r="D46" i="26"/>
  <c r="D45" i="26"/>
  <c r="D44" i="26"/>
  <c r="D43" i="26"/>
  <c r="D42" i="26"/>
  <c r="D41" i="26"/>
  <c r="D40" i="26"/>
  <c r="D39" i="26"/>
  <c r="D38" i="26"/>
  <c r="D37" i="26"/>
  <c r="D36" i="26"/>
  <c r="D35" i="26"/>
  <c r="D34" i="26"/>
  <c r="D33" i="26"/>
  <c r="D32" i="26"/>
  <c r="D31" i="26"/>
  <c r="D30" i="26"/>
  <c r="D29" i="26"/>
  <c r="B29" i="26"/>
  <c r="D28" i="26"/>
  <c r="B28" i="26"/>
  <c r="D27" i="26"/>
  <c r="B27" i="26"/>
  <c r="D26" i="26"/>
  <c r="B26" i="26"/>
  <c r="D25" i="26"/>
  <c r="B25" i="26"/>
  <c r="D24" i="26"/>
  <c r="B24" i="26"/>
  <c r="D23" i="26"/>
  <c r="B23" i="26"/>
  <c r="D22" i="26"/>
  <c r="B22" i="26"/>
  <c r="D21" i="26"/>
  <c r="B21" i="26"/>
  <c r="D20" i="26"/>
  <c r="B20" i="26"/>
  <c r="D19" i="26"/>
  <c r="B19" i="26"/>
  <c r="A19" i="26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D18" i="26"/>
  <c r="B18" i="26"/>
  <c r="D17" i="26"/>
  <c r="D16" i="26"/>
  <c r="D15" i="26"/>
  <c r="D14" i="26"/>
  <c r="D13" i="26"/>
  <c r="F13" i="26" s="1"/>
  <c r="D12" i="26"/>
  <c r="D11" i="26"/>
  <c r="F11" i="26" s="1"/>
  <c r="D10" i="26"/>
  <c r="F9" i="26"/>
  <c r="F7" i="26"/>
  <c r="V27" i="25"/>
  <c r="I27" i="25"/>
  <c r="I26" i="25"/>
  <c r="I25" i="25"/>
  <c r="I24" i="25"/>
  <c r="I23" i="25"/>
  <c r="I22" i="25"/>
  <c r="I21" i="25"/>
  <c r="I20" i="25"/>
  <c r="I19" i="25"/>
  <c r="I18" i="25"/>
  <c r="I17" i="25"/>
  <c r="I16" i="25"/>
  <c r="I11" i="25"/>
  <c r="I10" i="25"/>
  <c r="M9" i="25"/>
  <c r="Q9" i="25"/>
  <c r="I9" i="25"/>
  <c r="I8" i="25"/>
  <c r="L35" i="25" l="1"/>
  <c r="R35" i="25" s="1"/>
  <c r="G35" i="25"/>
  <c r="Q35" i="25" s="1"/>
  <c r="L36" i="25"/>
  <c r="R36" i="25" s="1"/>
  <c r="G36" i="25"/>
  <c r="Q36" i="25" s="1"/>
  <c r="F17" i="26"/>
  <c r="C159" i="26"/>
  <c r="C137" i="26"/>
  <c r="D125" i="26"/>
  <c r="F15" i="26"/>
  <c r="F6" i="26"/>
  <c r="F8" i="26"/>
  <c r="F10" i="26"/>
  <c r="F12" i="26"/>
  <c r="F14" i="26"/>
  <c r="F16" i="26"/>
  <c r="D114" i="26"/>
  <c r="D116" i="26"/>
  <c r="D118" i="26"/>
  <c r="D120" i="26"/>
  <c r="C148" i="26"/>
  <c r="C146" i="26"/>
  <c r="D124" i="26"/>
  <c r="C140" i="26"/>
  <c r="C138" i="26"/>
  <c r="C127" i="26"/>
  <c r="D136" i="26" s="1"/>
  <c r="D115" i="26"/>
  <c r="D122" i="26"/>
  <c r="C129" i="26"/>
  <c r="D135" i="26" s="1"/>
  <c r="D117" i="26"/>
  <c r="C142" i="26"/>
  <c r="D130" i="26"/>
  <c r="C131" i="26"/>
  <c r="D119" i="26"/>
  <c r="C133" i="26"/>
  <c r="D121" i="26"/>
  <c r="C144" i="26"/>
  <c r="D123" i="26"/>
  <c r="L9" i="25"/>
  <c r="P9" i="25"/>
  <c r="H9" i="25"/>
  <c r="C156" i="26" l="1"/>
  <c r="C143" i="26"/>
  <c r="D131" i="26"/>
  <c r="C141" i="26"/>
  <c r="D129" i="26"/>
  <c r="D126" i="26"/>
  <c r="C154" i="26"/>
  <c r="D128" i="26"/>
  <c r="D134" i="26"/>
  <c r="C160" i="26"/>
  <c r="C149" i="26"/>
  <c r="D137" i="26"/>
  <c r="C150" i="26"/>
  <c r="D138" i="26"/>
  <c r="C171" i="26"/>
  <c r="C145" i="26"/>
  <c r="D133" i="26"/>
  <c r="D132" i="26"/>
  <c r="C139" i="26"/>
  <c r="D127" i="26"/>
  <c r="C152" i="26"/>
  <c r="C158" i="26"/>
  <c r="N9" i="25"/>
  <c r="R9" i="25"/>
  <c r="D140" i="26" l="1"/>
  <c r="D144" i="26"/>
  <c r="C164" i="26"/>
  <c r="C166" i="26"/>
  <c r="C161" i="26"/>
  <c r="D149" i="26"/>
  <c r="C153" i="26"/>
  <c r="D141" i="26"/>
  <c r="C170" i="26"/>
  <c r="D148" i="26"/>
  <c r="C168" i="26"/>
  <c r="C157" i="26"/>
  <c r="D145" i="26"/>
  <c r="C162" i="26"/>
  <c r="C172" i="26"/>
  <c r="D142" i="26"/>
  <c r="D146" i="26"/>
  <c r="C151" i="26"/>
  <c r="D139" i="26"/>
  <c r="C183" i="26"/>
  <c r="C155" i="26"/>
  <c r="D143" i="26"/>
  <c r="D147" i="26"/>
  <c r="C184" i="26" l="1"/>
  <c r="C178" i="26"/>
  <c r="D155" i="26"/>
  <c r="C167" i="26"/>
  <c r="C163" i="26"/>
  <c r="D170" i="26" s="1"/>
  <c r="D151" i="26"/>
  <c r="D160" i="26"/>
  <c r="C169" i="26"/>
  <c r="D157" i="26"/>
  <c r="D158" i="26"/>
  <c r="D152" i="26"/>
  <c r="D150" i="26"/>
  <c r="C180" i="26"/>
  <c r="C182" i="26"/>
  <c r="C173" i="26"/>
  <c r="D161" i="26"/>
  <c r="C176" i="26"/>
  <c r="C165" i="26"/>
  <c r="D153" i="26"/>
  <c r="C195" i="26"/>
  <c r="D162" i="26"/>
  <c r="C174" i="26"/>
  <c r="D156" i="26"/>
  <c r="D154" i="26"/>
  <c r="D159" i="26"/>
  <c r="C185" i="26" l="1"/>
  <c r="D173" i="26"/>
  <c r="C190" i="26"/>
  <c r="D164" i="26"/>
  <c r="C194" i="26"/>
  <c r="C181" i="26"/>
  <c r="D169" i="26"/>
  <c r="C179" i="26"/>
  <c r="D167" i="26"/>
  <c r="D172" i="26"/>
  <c r="C207" i="26"/>
  <c r="C188" i="26"/>
  <c r="C196" i="26"/>
  <c r="D184" i="26"/>
  <c r="C177" i="26"/>
  <c r="D165" i="26"/>
  <c r="C192" i="26"/>
  <c r="D180" i="26"/>
  <c r="C175" i="26"/>
  <c r="D163" i="26"/>
  <c r="C186" i="26"/>
  <c r="D174" i="26"/>
  <c r="D168" i="26"/>
  <c r="D166" i="26"/>
  <c r="D171" i="26"/>
  <c r="C191" i="26" l="1"/>
  <c r="D179" i="26"/>
  <c r="C187" i="26"/>
  <c r="D175" i="26"/>
  <c r="C189" i="26"/>
  <c r="D196" i="26" s="1"/>
  <c r="D177" i="26"/>
  <c r="C200" i="26"/>
  <c r="D182" i="26"/>
  <c r="C202" i="26"/>
  <c r="C206" i="26"/>
  <c r="C198" i="26"/>
  <c r="C204" i="26"/>
  <c r="C208" i="26"/>
  <c r="C219" i="26"/>
  <c r="C197" i="26"/>
  <c r="D185" i="26"/>
  <c r="D176" i="26"/>
  <c r="C193" i="26"/>
  <c r="D186" i="26" s="1"/>
  <c r="D181" i="26"/>
  <c r="D178" i="26"/>
  <c r="D183" i="26"/>
  <c r="D188" i="26" l="1"/>
  <c r="D190" i="26"/>
  <c r="C231" i="26"/>
  <c r="C216" i="26"/>
  <c r="C218" i="26"/>
  <c r="C212" i="26"/>
  <c r="C210" i="26"/>
  <c r="C199" i="26"/>
  <c r="D187" i="26"/>
  <c r="D195" i="26"/>
  <c r="C209" i="26"/>
  <c r="D197" i="26"/>
  <c r="C220" i="26"/>
  <c r="C214" i="26"/>
  <c r="C205" i="26"/>
  <c r="D193" i="26"/>
  <c r="D192" i="26"/>
  <c r="D194" i="26"/>
  <c r="C201" i="26"/>
  <c r="D189" i="26"/>
  <c r="C203" i="26"/>
  <c r="D191" i="26"/>
  <c r="D204" i="26" l="1"/>
  <c r="C215" i="26"/>
  <c r="D203" i="26"/>
  <c r="C217" i="26"/>
  <c r="D205" i="26"/>
  <c r="C232" i="26"/>
  <c r="D200" i="26"/>
  <c r="D202" i="26"/>
  <c r="C211" i="26"/>
  <c r="D220" i="26" s="1"/>
  <c r="D199" i="26"/>
  <c r="C224" i="26"/>
  <c r="C228" i="26"/>
  <c r="D207" i="26"/>
  <c r="C226" i="26"/>
  <c r="C221" i="26"/>
  <c r="D209" i="26"/>
  <c r="D198" i="26"/>
  <c r="D206" i="26"/>
  <c r="C213" i="26"/>
  <c r="D201" i="26"/>
  <c r="D208" i="26"/>
  <c r="C222" i="26"/>
  <c r="C230" i="26"/>
  <c r="D218" i="26" l="1"/>
  <c r="D212" i="26"/>
  <c r="C225" i="26"/>
  <c r="D213" i="26"/>
  <c r="C233" i="26"/>
  <c r="D221" i="26"/>
  <c r="D216" i="26"/>
  <c r="C229" i="26"/>
  <c r="D217" i="26"/>
  <c r="D210" i="26"/>
  <c r="D214" i="26"/>
  <c r="C223" i="26"/>
  <c r="D228" i="26" s="1"/>
  <c r="D211" i="26"/>
  <c r="D219" i="26"/>
  <c r="C227" i="26"/>
  <c r="D227" i="26" s="1"/>
  <c r="D215" i="26"/>
  <c r="D232" i="26" l="1"/>
  <c r="D223" i="26"/>
  <c r="D231" i="26"/>
  <c r="D222" i="26"/>
  <c r="D229" i="26"/>
  <c r="D226" i="26"/>
  <c r="D233" i="26"/>
  <c r="D224" i="26"/>
  <c r="D225" i="26"/>
  <c r="D230" i="26"/>
  <c r="O12" i="7" l="1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11" i="7"/>
  <c r="L10" i="7" l="1"/>
  <c r="L11" i="7"/>
  <c r="J8" i="24"/>
  <c r="R7" i="24"/>
  <c r="R8" i="24"/>
  <c r="Q7" i="24"/>
  <c r="Q8" i="24"/>
  <c r="P7" i="24"/>
  <c r="P8" i="24"/>
  <c r="O7" i="24"/>
  <c r="O8" i="24"/>
  <c r="N7" i="24"/>
  <c r="N8" i="24"/>
  <c r="M7" i="24"/>
  <c r="M8" i="24"/>
  <c r="L7" i="24"/>
  <c r="L8" i="24"/>
  <c r="K7" i="24"/>
  <c r="K8" i="24"/>
  <c r="J7" i="24"/>
  <c r="I7" i="24"/>
  <c r="I8" i="24"/>
  <c r="H7" i="24"/>
  <c r="H8" i="24"/>
  <c r="G7" i="24"/>
  <c r="G8" i="24"/>
  <c r="F7" i="24"/>
  <c r="F8" i="24"/>
  <c r="E7" i="24"/>
  <c r="E8" i="24"/>
  <c r="D7" i="24"/>
  <c r="D8" i="24"/>
  <c r="C7" i="24"/>
  <c r="C8" i="24"/>
  <c r="B7" i="24"/>
  <c r="B8" i="24"/>
  <c r="N9" i="7"/>
  <c r="M11" i="7"/>
  <c r="S11" i="7"/>
  <c r="T11" i="7" s="1"/>
  <c r="M7" i="7"/>
  <c r="L9" i="7"/>
  <c r="L8" i="7"/>
  <c r="Q39" i="7"/>
  <c r="P39" i="7"/>
  <c r="P37" i="7"/>
  <c r="P38" i="7"/>
  <c r="O38" i="7"/>
  <c r="O37" i="7"/>
  <c r="T9" i="7"/>
  <c r="T8" i="7"/>
  <c r="G8" i="7"/>
  <c r="S9" i="7"/>
  <c r="S8" i="7"/>
  <c r="F8" i="7"/>
  <c r="F7" i="7"/>
  <c r="G7" i="7"/>
  <c r="T7" i="7"/>
  <c r="AG8" i="7"/>
  <c r="AG7" i="7"/>
  <c r="T21" i="8"/>
  <c r="X9" i="7"/>
  <c r="AB9" i="7" s="1"/>
  <c r="T13" i="8"/>
  <c r="Y40" i="7"/>
  <c r="Y7" i="7"/>
  <c r="Y8" i="7"/>
  <c r="C8" i="7"/>
  <c r="C9" i="7"/>
  <c r="C7" i="7"/>
  <c r="Q7" i="7"/>
  <c r="AB7" i="7"/>
  <c r="AE7" i="7"/>
  <c r="Z7" i="7"/>
  <c r="AA7" i="7"/>
  <c r="D7" i="7"/>
  <c r="E7" i="7"/>
  <c r="AC7" i="7"/>
  <c r="N8" i="7"/>
  <c r="P9" i="7"/>
  <c r="P8" i="7"/>
  <c r="R8" i="7"/>
  <c r="Q8" i="7"/>
  <c r="Z8" i="7"/>
  <c r="AA8" i="7"/>
  <c r="AB8" i="7"/>
  <c r="AE8" i="7"/>
  <c r="R9" i="7"/>
  <c r="Q9" i="7"/>
  <c r="D8" i="7"/>
  <c r="E8" i="7"/>
  <c r="AC8" i="7"/>
  <c r="R10" i="7"/>
  <c r="Q11" i="7"/>
  <c r="R11" i="7"/>
  <c r="AC9" i="7" l="1"/>
  <c r="AE9" i="7"/>
  <c r="D9" i="7"/>
  <c r="AF9" i="7"/>
  <c r="Y9" i="7"/>
  <c r="Z9" i="7"/>
  <c r="AA9" i="7" s="1"/>
  <c r="X10" i="7"/>
  <c r="X11" i="7" s="1"/>
  <c r="C11" i="7"/>
  <c r="S10" i="7"/>
  <c r="P11" i="7"/>
  <c r="Q10" i="7"/>
  <c r="C10" i="7"/>
  <c r="P10" i="7"/>
  <c r="N10" i="7"/>
  <c r="N11" i="7"/>
  <c r="Y10" i="7" l="1"/>
  <c r="AB10" i="7"/>
  <c r="D10" i="7" s="1"/>
  <c r="E10" i="7" s="1"/>
  <c r="F9" i="7"/>
  <c r="AG9" i="7"/>
  <c r="G37" i="25"/>
  <c r="Q37" i="25" s="1"/>
  <c r="L37" i="25"/>
  <c r="R37" i="25" s="1"/>
  <c r="E9" i="7"/>
  <c r="Z10" i="7"/>
  <c r="AA10" i="7" s="1"/>
  <c r="AF10" i="7"/>
  <c r="AG10" i="7" s="1"/>
  <c r="Z11" i="7"/>
  <c r="Y11" i="7"/>
  <c r="AB11" i="7"/>
  <c r="T10" i="7"/>
  <c r="AE10" i="7" l="1"/>
  <c r="AC10" i="7"/>
  <c r="P42" i="7"/>
  <c r="Q42" i="7" s="1"/>
  <c r="C11" i="25"/>
  <c r="C10" i="25"/>
  <c r="P41" i="7"/>
  <c r="Q41" i="7" s="1"/>
  <c r="F10" i="25"/>
  <c r="E29" i="26"/>
  <c r="G9" i="7"/>
  <c r="AA11" i="7"/>
  <c r="AE11" i="7"/>
  <c r="AC11" i="7"/>
  <c r="D11" i="7"/>
  <c r="E11" i="7" s="1"/>
  <c r="C12" i="25" s="1"/>
  <c r="AF11" i="7"/>
  <c r="F10" i="7"/>
  <c r="F23" i="26" l="1"/>
  <c r="F18" i="26"/>
  <c r="F22" i="26"/>
  <c r="F27" i="26"/>
  <c r="F24" i="26"/>
  <c r="F26" i="26"/>
  <c r="F19" i="26"/>
  <c r="F21" i="26"/>
  <c r="F20" i="26"/>
  <c r="F29" i="26"/>
  <c r="F28" i="26"/>
  <c r="F25" i="26"/>
  <c r="L10" i="25"/>
  <c r="P10" i="25"/>
  <c r="G38" i="25"/>
  <c r="Q38" i="25" s="1"/>
  <c r="L38" i="25"/>
  <c r="R38" i="25" s="1"/>
  <c r="L12" i="25"/>
  <c r="P12" i="25"/>
  <c r="G10" i="7"/>
  <c r="F11" i="25"/>
  <c r="E41" i="26"/>
  <c r="L11" i="25"/>
  <c r="G39" i="25"/>
  <c r="Q39" i="25" s="1"/>
  <c r="L39" i="25"/>
  <c r="R39" i="25" s="1"/>
  <c r="P11" i="25"/>
  <c r="M10" i="25"/>
  <c r="Q10" i="25"/>
  <c r="H10" i="25"/>
  <c r="Q43" i="7"/>
  <c r="R43" i="7" s="1"/>
  <c r="AG11" i="7"/>
  <c r="F11" i="7"/>
  <c r="R10" i="25" l="1"/>
  <c r="N10" i="25"/>
  <c r="F12" i="25"/>
  <c r="E53" i="26"/>
  <c r="M11" i="25"/>
  <c r="Q11" i="25"/>
  <c r="H11" i="25"/>
  <c r="F36" i="26"/>
  <c r="F38" i="26"/>
  <c r="F32" i="26"/>
  <c r="F40" i="26"/>
  <c r="F34" i="26"/>
  <c r="F33" i="26"/>
  <c r="F31" i="26"/>
  <c r="F37" i="26"/>
  <c r="F41" i="26"/>
  <c r="F39" i="26"/>
  <c r="F35" i="26"/>
  <c r="F30" i="26"/>
  <c r="G11" i="7"/>
  <c r="F45" i="26" l="1"/>
  <c r="F53" i="26"/>
  <c r="F49" i="26"/>
  <c r="F50" i="26"/>
  <c r="F51" i="26"/>
  <c r="F52" i="26"/>
  <c r="F43" i="26"/>
  <c r="F42" i="26"/>
  <c r="F48" i="26"/>
  <c r="F44" i="26"/>
  <c r="F47" i="26"/>
  <c r="F46" i="26"/>
  <c r="N11" i="25"/>
  <c r="R11" i="25"/>
  <c r="Q12" i="25"/>
  <c r="M12" i="25"/>
  <c r="H12" i="25"/>
  <c r="L22" i="7"/>
  <c r="R22" i="7"/>
  <c r="L14" i="7"/>
  <c r="R14" i="7"/>
  <c r="L21" i="7"/>
  <c r="R21" i="7"/>
  <c r="L24" i="7"/>
  <c r="R24" i="7"/>
  <c r="L16" i="7"/>
  <c r="R16" i="7"/>
  <c r="L19" i="7"/>
  <c r="R19" i="7"/>
  <c r="Q26" i="7"/>
  <c r="R13" i="7"/>
  <c r="L13" i="7"/>
  <c r="L15" i="7"/>
  <c r="R15" i="7"/>
  <c r="R18" i="7"/>
  <c r="L18" i="7"/>
  <c r="L25" i="7"/>
  <c r="R25" i="7"/>
  <c r="L17" i="7"/>
  <c r="R17" i="7"/>
  <c r="R20" i="7"/>
  <c r="L20" i="7"/>
  <c r="R23" i="7"/>
  <c r="L23" i="7"/>
  <c r="R26" i="7"/>
  <c r="L26" i="7"/>
  <c r="M13" i="7"/>
  <c r="C13" i="7"/>
  <c r="S13" i="7"/>
  <c r="T13" i="7" s="1"/>
  <c r="M19" i="7"/>
  <c r="M21" i="7"/>
  <c r="M24" i="7"/>
  <c r="M26" i="7"/>
  <c r="S26" i="7"/>
  <c r="T26" i="7" s="1"/>
  <c r="M20" i="7"/>
  <c r="N20" i="7" s="1"/>
  <c r="M22" i="7"/>
  <c r="Q16" i="7"/>
  <c r="M12" i="7"/>
  <c r="N12" i="7" s="1"/>
  <c r="N17" i="7"/>
  <c r="Q17" i="7"/>
  <c r="M23" i="7"/>
  <c r="N23" i="7" s="1"/>
  <c r="C23" i="7"/>
  <c r="R12" i="7"/>
  <c r="X12" i="7"/>
  <c r="L12" i="7"/>
  <c r="M25" i="7"/>
  <c r="R12" i="25" l="1"/>
  <c r="N12" i="25"/>
  <c r="X13" i="7"/>
  <c r="Y13" i="7" s="1"/>
  <c r="C17" i="7"/>
  <c r="S20" i="7"/>
  <c r="N13" i="7"/>
  <c r="N16" i="7"/>
  <c r="S16" i="7"/>
  <c r="T16" i="7" s="1"/>
  <c r="Q13" i="7"/>
  <c r="N18" i="7"/>
  <c r="C20" i="7"/>
  <c r="N21" i="7"/>
  <c r="N22" i="7"/>
  <c r="N14" i="7"/>
  <c r="N25" i="7"/>
  <c r="N26" i="7"/>
  <c r="N24" i="7"/>
  <c r="N19" i="7"/>
  <c r="Q23" i="7"/>
  <c r="S23" i="7"/>
  <c r="C22" i="7"/>
  <c r="S22" i="7"/>
  <c r="P26" i="7"/>
  <c r="Q22" i="7"/>
  <c r="N15" i="7"/>
  <c r="Y12" i="7"/>
  <c r="S17" i="7"/>
  <c r="P17" i="7"/>
  <c r="P23" i="7"/>
  <c r="C16" i="7"/>
  <c r="X14" i="7" l="1"/>
  <c r="X15" i="7" s="1"/>
  <c r="Z13" i="7"/>
  <c r="P12" i="7"/>
  <c r="S12" i="7"/>
  <c r="T12" i="7" s="1"/>
  <c r="Q12" i="7"/>
  <c r="C12" i="7"/>
  <c r="P13" i="7"/>
  <c r="AB13" i="7"/>
  <c r="AF13" i="7" s="1"/>
  <c r="Q20" i="7"/>
  <c r="P19" i="7"/>
  <c r="S19" i="7"/>
  <c r="Q19" i="7"/>
  <c r="C19" i="7"/>
  <c r="S25" i="7"/>
  <c r="Q25" i="7"/>
  <c r="C25" i="7"/>
  <c r="P25" i="7"/>
  <c r="S21" i="7"/>
  <c r="C21" i="7"/>
  <c r="Q21" i="7"/>
  <c r="P22" i="7"/>
  <c r="P21" i="7"/>
  <c r="P20" i="7"/>
  <c r="Q15" i="7"/>
  <c r="P15" i="7"/>
  <c r="P16" i="7"/>
  <c r="S15" i="7"/>
  <c r="C15" i="7"/>
  <c r="T22" i="7"/>
  <c r="P24" i="7"/>
  <c r="C24" i="7"/>
  <c r="Q24" i="7"/>
  <c r="S24" i="7"/>
  <c r="C14" i="7"/>
  <c r="P14" i="7"/>
  <c r="S14" i="7"/>
  <c r="Q14" i="7"/>
  <c r="AB14" i="7" s="1"/>
  <c r="T20" i="7"/>
  <c r="P18" i="7"/>
  <c r="C18" i="7"/>
  <c r="S18" i="7"/>
  <c r="Q18" i="7"/>
  <c r="T17" i="7"/>
  <c r="T23" i="7"/>
  <c r="Y14" i="7"/>
  <c r="D13" i="7" l="1"/>
  <c r="E13" i="7" s="1"/>
  <c r="C14" i="25" s="1"/>
  <c r="AE13" i="7"/>
  <c r="AB12" i="7"/>
  <c r="Z12" i="7"/>
  <c r="Z14" i="7"/>
  <c r="AA14" i="7" s="1"/>
  <c r="AC14" i="7"/>
  <c r="AF14" i="7"/>
  <c r="AG14" i="7" s="1"/>
  <c r="D14" i="7"/>
  <c r="E14" i="7" s="1"/>
  <c r="C15" i="25" s="1"/>
  <c r="AE14" i="7"/>
  <c r="Y15" i="7"/>
  <c r="X16" i="7"/>
  <c r="Z15" i="7"/>
  <c r="AB15" i="7"/>
  <c r="T14" i="7"/>
  <c r="T15" i="7"/>
  <c r="T19" i="7"/>
  <c r="T24" i="7"/>
  <c r="T21" i="7"/>
  <c r="T25" i="7"/>
  <c r="T18" i="7"/>
  <c r="AG13" i="7"/>
  <c r="F13" i="7"/>
  <c r="P15" i="25" l="1"/>
  <c r="L15" i="25"/>
  <c r="G13" i="7"/>
  <c r="F14" i="25"/>
  <c r="E77" i="26"/>
  <c r="F14" i="7"/>
  <c r="P14" i="25"/>
  <c r="G42" i="25"/>
  <c r="Q42" i="25" s="1"/>
  <c r="L42" i="25"/>
  <c r="R42" i="25" s="1"/>
  <c r="L14" i="25"/>
  <c r="D12" i="7"/>
  <c r="AE12" i="7"/>
  <c r="AC12" i="7"/>
  <c r="AF12" i="7"/>
  <c r="AA15" i="7"/>
  <c r="AA12" i="7"/>
  <c r="AA13" i="7"/>
  <c r="AC13" i="7"/>
  <c r="AE15" i="7"/>
  <c r="D15" i="7"/>
  <c r="E15" i="7" s="1"/>
  <c r="C16" i="25" s="1"/>
  <c r="AC15" i="7"/>
  <c r="AF15" i="7"/>
  <c r="Y16" i="7"/>
  <c r="Z16" i="7"/>
  <c r="AA16" i="7" s="1"/>
  <c r="AB16" i="7"/>
  <c r="X17" i="7"/>
  <c r="G14" i="7" l="1"/>
  <c r="E89" i="26"/>
  <c r="F15" i="25"/>
  <c r="L43" i="25"/>
  <c r="R43" i="25" s="1"/>
  <c r="F66" i="26"/>
  <c r="F74" i="26"/>
  <c r="F69" i="26"/>
  <c r="F71" i="26"/>
  <c r="F77" i="26"/>
  <c r="F68" i="26"/>
  <c r="F76" i="26"/>
  <c r="F70" i="26"/>
  <c r="F73" i="26"/>
  <c r="F72" i="26"/>
  <c r="F67" i="26"/>
  <c r="F75" i="26"/>
  <c r="G43" i="25"/>
  <c r="Q43" i="25" s="1"/>
  <c r="M14" i="25"/>
  <c r="Q14" i="25"/>
  <c r="H14" i="25"/>
  <c r="L16" i="25"/>
  <c r="P16" i="25"/>
  <c r="E12" i="7"/>
  <c r="C13" i="25" s="1"/>
  <c r="L40" i="25"/>
  <c r="R40" i="25" s="1"/>
  <c r="G40" i="25"/>
  <c r="Q40" i="25" s="1"/>
  <c r="AG12" i="7"/>
  <c r="F12" i="7"/>
  <c r="AB17" i="7"/>
  <c r="X18" i="7"/>
  <c r="Y17" i="7"/>
  <c r="Z17" i="7"/>
  <c r="AA17" i="7" s="1"/>
  <c r="AG15" i="7"/>
  <c r="F15" i="7"/>
  <c r="AE16" i="7"/>
  <c r="AC16" i="7"/>
  <c r="D16" i="7"/>
  <c r="E16" i="7" s="1"/>
  <c r="C17" i="25" s="1"/>
  <c r="AF16" i="7"/>
  <c r="G44" i="25" l="1"/>
  <c r="Q44" i="25" s="1"/>
  <c r="R14" i="25"/>
  <c r="N14" i="25"/>
  <c r="G15" i="7"/>
  <c r="F16" i="25"/>
  <c r="E101" i="26"/>
  <c r="H15" i="25"/>
  <c r="M15" i="25"/>
  <c r="Q15" i="25"/>
  <c r="L44" i="25"/>
  <c r="R44" i="25" s="1"/>
  <c r="F84" i="26"/>
  <c r="F86" i="26"/>
  <c r="F80" i="26"/>
  <c r="F88" i="26"/>
  <c r="F83" i="26"/>
  <c r="F87" i="26"/>
  <c r="F85" i="26"/>
  <c r="F89" i="26"/>
  <c r="F79" i="26"/>
  <c r="F78" i="26"/>
  <c r="F82" i="26"/>
  <c r="F81" i="26"/>
  <c r="L17" i="25"/>
  <c r="P17" i="25"/>
  <c r="F13" i="25"/>
  <c r="E65" i="26"/>
  <c r="L13" i="25"/>
  <c r="P13" i="25"/>
  <c r="L41" i="25"/>
  <c r="R41" i="25" s="1"/>
  <c r="G41" i="25"/>
  <c r="Q41" i="25" s="1"/>
  <c r="G12" i="7"/>
  <c r="AG16" i="7"/>
  <c r="F16" i="7"/>
  <c r="Z18" i="7"/>
  <c r="AA18" i="7" s="1"/>
  <c r="Y18" i="7"/>
  <c r="AB18" i="7"/>
  <c r="X19" i="7"/>
  <c r="AE17" i="7"/>
  <c r="D17" i="7"/>
  <c r="E17" i="7" s="1"/>
  <c r="C18" i="25" s="1"/>
  <c r="AF17" i="7"/>
  <c r="AC17" i="7"/>
  <c r="L45" i="25" l="1"/>
  <c r="R45" i="25" s="1"/>
  <c r="H16" i="25"/>
  <c r="Q16" i="25"/>
  <c r="M16" i="25"/>
  <c r="G16" i="7"/>
  <c r="E113" i="26"/>
  <c r="F17" i="25"/>
  <c r="F55" i="26"/>
  <c r="F59" i="26"/>
  <c r="F54" i="26"/>
  <c r="F57" i="26"/>
  <c r="F61" i="26"/>
  <c r="F56" i="26"/>
  <c r="F63" i="26"/>
  <c r="F64" i="26"/>
  <c r="F65" i="26"/>
  <c r="F58" i="26"/>
  <c r="F60" i="26"/>
  <c r="F62" i="26"/>
  <c r="H13" i="25"/>
  <c r="M13" i="25"/>
  <c r="Q13" i="25"/>
  <c r="N15" i="25"/>
  <c r="R15" i="25"/>
  <c r="L18" i="25"/>
  <c r="P18" i="25"/>
  <c r="G45" i="25"/>
  <c r="Q45" i="25" s="1"/>
  <c r="F101" i="26"/>
  <c r="F93" i="26"/>
  <c r="F100" i="26"/>
  <c r="F98" i="26"/>
  <c r="F99" i="26"/>
  <c r="F97" i="26"/>
  <c r="F92" i="26"/>
  <c r="F96" i="26"/>
  <c r="F90" i="26"/>
  <c r="F91" i="26"/>
  <c r="F95" i="26"/>
  <c r="F94" i="26"/>
  <c r="Z19" i="7"/>
  <c r="AA19" i="7" s="1"/>
  <c r="AB19" i="7"/>
  <c r="Y19" i="7"/>
  <c r="X20" i="7"/>
  <c r="AG17" i="7"/>
  <c r="F17" i="7"/>
  <c r="AC18" i="7"/>
  <c r="AF18" i="7"/>
  <c r="AE18" i="7"/>
  <c r="D18" i="7"/>
  <c r="E18" i="7" s="1"/>
  <c r="C19" i="25" s="1"/>
  <c r="L19" i="25" l="1"/>
  <c r="P19" i="25"/>
  <c r="N13" i="25"/>
  <c r="R13" i="25"/>
  <c r="L46" i="25"/>
  <c r="R46" i="25" s="1"/>
  <c r="F18" i="25"/>
  <c r="E125" i="26"/>
  <c r="G46" i="25"/>
  <c r="Q46" i="25" s="1"/>
  <c r="H17" i="25"/>
  <c r="Q17" i="25"/>
  <c r="M17" i="25"/>
  <c r="F106" i="26"/>
  <c r="F112" i="26"/>
  <c r="F104" i="26"/>
  <c r="F105" i="26"/>
  <c r="F107" i="26"/>
  <c r="F108" i="26"/>
  <c r="F109" i="26"/>
  <c r="F103" i="26"/>
  <c r="F111" i="26"/>
  <c r="F102" i="26"/>
  <c r="F110" i="26"/>
  <c r="F113" i="26"/>
  <c r="N16" i="25"/>
  <c r="R16" i="25"/>
  <c r="G17" i="7"/>
  <c r="AG18" i="7"/>
  <c r="F18" i="7"/>
  <c r="X21" i="7"/>
  <c r="Y20" i="7"/>
  <c r="Z20" i="7"/>
  <c r="AA20" i="7" s="1"/>
  <c r="AB20" i="7"/>
  <c r="AC19" i="7"/>
  <c r="AE19" i="7"/>
  <c r="AF19" i="7"/>
  <c r="D19" i="7"/>
  <c r="E19" i="7" s="1"/>
  <c r="C20" i="25" s="1"/>
  <c r="R17" i="25" l="1"/>
  <c r="N17" i="25"/>
  <c r="H18" i="25"/>
  <c r="Q18" i="25"/>
  <c r="M18" i="25"/>
  <c r="G47" i="25"/>
  <c r="Q47" i="25" s="1"/>
  <c r="G18" i="7"/>
  <c r="F19" i="25"/>
  <c r="E137" i="26"/>
  <c r="L20" i="25"/>
  <c r="P20" i="25"/>
  <c r="F116" i="26"/>
  <c r="F120" i="26"/>
  <c r="F117" i="26"/>
  <c r="F121" i="26"/>
  <c r="F119" i="26"/>
  <c r="F122" i="26"/>
  <c r="F125" i="26"/>
  <c r="F124" i="26"/>
  <c r="F115" i="26"/>
  <c r="F118" i="26"/>
  <c r="F123" i="26"/>
  <c r="F114" i="26"/>
  <c r="L47" i="25"/>
  <c r="R47" i="25" s="1"/>
  <c r="AB21" i="7"/>
  <c r="X22" i="7"/>
  <c r="Z21" i="7"/>
  <c r="AA21" i="7" s="1"/>
  <c r="Y21" i="7"/>
  <c r="AE20" i="7"/>
  <c r="D20" i="7"/>
  <c r="E20" i="7" s="1"/>
  <c r="C21" i="25" s="1"/>
  <c r="AC20" i="7"/>
  <c r="AF20" i="7"/>
  <c r="AG19" i="7"/>
  <c r="F19" i="7"/>
  <c r="L48" i="25" l="1"/>
  <c r="R48" i="25" s="1"/>
  <c r="H19" i="25"/>
  <c r="M19" i="25"/>
  <c r="Q19" i="25"/>
  <c r="G48" i="25"/>
  <c r="Q48" i="25" s="1"/>
  <c r="N18" i="25"/>
  <c r="R18" i="25"/>
  <c r="F20" i="25"/>
  <c r="E149" i="26"/>
  <c r="P21" i="25"/>
  <c r="L21" i="25"/>
  <c r="F130" i="26"/>
  <c r="F135" i="26"/>
  <c r="F136" i="26"/>
  <c r="F132" i="26"/>
  <c r="F134" i="26"/>
  <c r="F128" i="26"/>
  <c r="F127" i="26"/>
  <c r="F129" i="26"/>
  <c r="F131" i="26"/>
  <c r="F126" i="26"/>
  <c r="F133" i="26"/>
  <c r="F137" i="26"/>
  <c r="G19" i="7"/>
  <c r="AG20" i="7"/>
  <c r="F20" i="7"/>
  <c r="AB22" i="7"/>
  <c r="Y22" i="7"/>
  <c r="X23" i="7"/>
  <c r="Z22" i="7"/>
  <c r="AA22" i="7" s="1"/>
  <c r="AE21" i="7"/>
  <c r="AF21" i="7"/>
  <c r="D21" i="7"/>
  <c r="E21" i="7" s="1"/>
  <c r="C22" i="25" s="1"/>
  <c r="AC21" i="7"/>
  <c r="F138" i="26" l="1"/>
  <c r="F148" i="26"/>
  <c r="F146" i="26"/>
  <c r="F145" i="26"/>
  <c r="F140" i="26"/>
  <c r="F147" i="26"/>
  <c r="F142" i="26"/>
  <c r="F139" i="26"/>
  <c r="F149" i="26"/>
  <c r="F144" i="26"/>
  <c r="F143" i="26"/>
  <c r="F141" i="26"/>
  <c r="G20" i="7"/>
  <c r="F21" i="25"/>
  <c r="E161" i="26"/>
  <c r="M20" i="25"/>
  <c r="Q20" i="25"/>
  <c r="H20" i="25"/>
  <c r="L49" i="25"/>
  <c r="R49" i="25" s="1"/>
  <c r="L50" i="25"/>
  <c r="R50" i="25" s="1"/>
  <c r="P22" i="25"/>
  <c r="L22" i="25"/>
  <c r="G49" i="25"/>
  <c r="Q49" i="25" s="1"/>
  <c r="N19" i="25"/>
  <c r="R19" i="25"/>
  <c r="AG21" i="7"/>
  <c r="F21" i="7"/>
  <c r="AE22" i="7"/>
  <c r="D22" i="7"/>
  <c r="E22" i="7" s="1"/>
  <c r="C23" i="25" s="1"/>
  <c r="AF22" i="7"/>
  <c r="AC22" i="7"/>
  <c r="X24" i="7"/>
  <c r="Y23" i="7"/>
  <c r="Z23" i="7"/>
  <c r="AA23" i="7" s="1"/>
  <c r="AB23" i="7"/>
  <c r="G50" i="25" l="1"/>
  <c r="Q50" i="25" s="1"/>
  <c r="F22" i="25"/>
  <c r="E173" i="26"/>
  <c r="F159" i="26"/>
  <c r="F156" i="26"/>
  <c r="F158" i="26"/>
  <c r="F151" i="26"/>
  <c r="F157" i="26"/>
  <c r="F153" i="26"/>
  <c r="F161" i="26"/>
  <c r="F154" i="26"/>
  <c r="F160" i="26"/>
  <c r="F152" i="26"/>
  <c r="F150" i="26"/>
  <c r="F155" i="26"/>
  <c r="L23" i="25"/>
  <c r="P23" i="25"/>
  <c r="R20" i="25"/>
  <c r="N20" i="25"/>
  <c r="Q21" i="25"/>
  <c r="M21" i="25"/>
  <c r="H21" i="25"/>
  <c r="G21" i="7"/>
  <c r="Y24" i="7"/>
  <c r="AB24" i="7"/>
  <c r="X25" i="7"/>
  <c r="Z24" i="7"/>
  <c r="AA24" i="7" s="1"/>
  <c r="AF23" i="7"/>
  <c r="AE23" i="7"/>
  <c r="AC23" i="7"/>
  <c r="D23" i="7"/>
  <c r="E23" i="7" s="1"/>
  <c r="C24" i="25" s="1"/>
  <c r="AG22" i="7"/>
  <c r="F22" i="7"/>
  <c r="L51" i="25" l="1"/>
  <c r="R51" i="25" s="1"/>
  <c r="G51" i="25"/>
  <c r="Q51" i="25" s="1"/>
  <c r="G22" i="7"/>
  <c r="F23" i="25"/>
  <c r="E185" i="26"/>
  <c r="N21" i="25"/>
  <c r="R21" i="25"/>
  <c r="F162" i="26"/>
  <c r="F170" i="26"/>
  <c r="F171" i="26"/>
  <c r="F167" i="26"/>
  <c r="F169" i="26"/>
  <c r="F172" i="26"/>
  <c r="F173" i="26"/>
  <c r="F163" i="26"/>
  <c r="F166" i="26"/>
  <c r="F164" i="26"/>
  <c r="F165" i="26"/>
  <c r="F168" i="26"/>
  <c r="L24" i="25"/>
  <c r="P24" i="25"/>
  <c r="Q22" i="25"/>
  <c r="M22" i="25"/>
  <c r="H22" i="25"/>
  <c r="X26" i="7"/>
  <c r="Y25" i="7"/>
  <c r="Z25" i="7"/>
  <c r="AA25" i="7" s="1"/>
  <c r="AB25" i="7"/>
  <c r="D24" i="7"/>
  <c r="E24" i="7" s="1"/>
  <c r="C25" i="25" s="1"/>
  <c r="AE24" i="7"/>
  <c r="AC24" i="7"/>
  <c r="AF24" i="7"/>
  <c r="AG23" i="7"/>
  <c r="F23" i="7"/>
  <c r="G52" i="25" l="1"/>
  <c r="Q52" i="25" s="1"/>
  <c r="L52" i="25"/>
  <c r="R52" i="25" s="1"/>
  <c r="R22" i="25"/>
  <c r="N22" i="25"/>
  <c r="F180" i="26"/>
  <c r="F174" i="26"/>
  <c r="F184" i="26"/>
  <c r="F181" i="26"/>
  <c r="F185" i="26"/>
  <c r="F179" i="26"/>
  <c r="F182" i="26"/>
  <c r="F183" i="26"/>
  <c r="F175" i="26"/>
  <c r="F178" i="26"/>
  <c r="F177" i="26"/>
  <c r="F176" i="26"/>
  <c r="F24" i="25"/>
  <c r="E197" i="26"/>
  <c r="M23" i="25"/>
  <c r="Q23" i="25"/>
  <c r="H23" i="25"/>
  <c r="P25" i="25"/>
  <c r="L25" i="25"/>
  <c r="G23" i="7"/>
  <c r="AG24" i="7"/>
  <c r="F24" i="7"/>
  <c r="AE25" i="7"/>
  <c r="AF25" i="7"/>
  <c r="AC25" i="7"/>
  <c r="D25" i="7"/>
  <c r="E25" i="7" s="1"/>
  <c r="C26" i="25" s="1"/>
  <c r="Y26" i="7"/>
  <c r="AB26" i="7"/>
  <c r="Z26" i="7"/>
  <c r="AA26" i="7" s="1"/>
  <c r="F196" i="26" l="1"/>
  <c r="F186" i="26"/>
  <c r="F187" i="26"/>
  <c r="F189" i="26"/>
  <c r="F195" i="26"/>
  <c r="F191" i="26"/>
  <c r="F192" i="26"/>
  <c r="F197" i="26"/>
  <c r="F190" i="26"/>
  <c r="F194" i="26"/>
  <c r="F193" i="26"/>
  <c r="F188" i="26"/>
  <c r="L53" i="25"/>
  <c r="R53" i="25" s="1"/>
  <c r="N23" i="25"/>
  <c r="R23" i="25"/>
  <c r="M24" i="25"/>
  <c r="Q24" i="25"/>
  <c r="H24" i="25"/>
  <c r="G54" i="25"/>
  <c r="Q54" i="25" s="1"/>
  <c r="P26" i="25"/>
  <c r="L26" i="25"/>
  <c r="G24" i="7"/>
  <c r="F25" i="25"/>
  <c r="E209" i="26"/>
  <c r="G53" i="25"/>
  <c r="Q53" i="25" s="1"/>
  <c r="D26" i="7"/>
  <c r="E26" i="7" s="1"/>
  <c r="C27" i="25" s="1"/>
  <c r="AE26" i="7"/>
  <c r="AF26" i="7"/>
  <c r="AC26" i="7"/>
  <c r="AG25" i="7"/>
  <c r="F25" i="7"/>
  <c r="P27" i="25" l="1"/>
  <c r="G55" i="25"/>
  <c r="Q55" i="25" s="1"/>
  <c r="L55" i="25"/>
  <c r="R55" i="25" s="1"/>
  <c r="L27" i="25"/>
  <c r="R24" i="25"/>
  <c r="N24" i="25"/>
  <c r="F206" i="26"/>
  <c r="F208" i="26"/>
  <c r="F203" i="26"/>
  <c r="F205" i="26"/>
  <c r="F202" i="26"/>
  <c r="F198" i="26"/>
  <c r="F201" i="26"/>
  <c r="F207" i="26"/>
  <c r="F209" i="26"/>
  <c r="F200" i="26"/>
  <c r="F204" i="26"/>
  <c r="F199" i="26"/>
  <c r="L54" i="25"/>
  <c r="R54" i="25" s="1"/>
  <c r="F26" i="25"/>
  <c r="E221" i="26"/>
  <c r="Q25" i="25"/>
  <c r="M25" i="25"/>
  <c r="H25" i="25"/>
  <c r="G25" i="7"/>
  <c r="AG26" i="7"/>
  <c r="F26" i="7"/>
  <c r="F27" i="25" l="1"/>
  <c r="E233" i="26"/>
  <c r="E237" i="26"/>
  <c r="F220" i="26"/>
  <c r="F214" i="26"/>
  <c r="F221" i="26"/>
  <c r="F213" i="26"/>
  <c r="F211" i="26"/>
  <c r="F210" i="26"/>
  <c r="F217" i="26"/>
  <c r="F216" i="26"/>
  <c r="F218" i="26"/>
  <c r="F212" i="26"/>
  <c r="F215" i="26"/>
  <c r="F219" i="26"/>
  <c r="N25" i="25"/>
  <c r="R25" i="25"/>
  <c r="M26" i="25"/>
  <c r="Q26" i="25"/>
  <c r="H26" i="25"/>
  <c r="G26" i="7"/>
  <c r="F227" i="26" l="1"/>
  <c r="F228" i="26"/>
  <c r="F233" i="26"/>
  <c r="F232" i="26"/>
  <c r="F224" i="26"/>
  <c r="F231" i="26"/>
  <c r="F223" i="26"/>
  <c r="F230" i="26"/>
  <c r="F226" i="26"/>
  <c r="F222" i="26"/>
  <c r="F225" i="26"/>
  <c r="F229" i="26"/>
  <c r="E235" i="26"/>
  <c r="Q27" i="25"/>
  <c r="H27" i="25"/>
  <c r="M27" i="25"/>
  <c r="R26" i="25"/>
  <c r="N26" i="25"/>
  <c r="R27" i="25" l="1"/>
  <c r="N27" i="25"/>
  <c r="F235" i="26"/>
</calcChain>
</file>

<file path=xl/sharedStrings.xml><?xml version="1.0" encoding="utf-8"?>
<sst xmlns="http://schemas.openxmlformats.org/spreadsheetml/2006/main" count="385" uniqueCount="207">
  <si>
    <t>Charge days</t>
  </si>
  <si>
    <t>Year</t>
  </si>
  <si>
    <t>Revised</t>
  </si>
  <si>
    <t>Peak Assumptions:</t>
  </si>
  <si>
    <t>Vehicle Demand</t>
  </si>
  <si>
    <t>kW</t>
  </si>
  <si>
    <t>Percent Charging at:</t>
  </si>
  <si>
    <t>WP</t>
  </si>
  <si>
    <t>7-8 AM</t>
  </si>
  <si>
    <t>SP</t>
  </si>
  <si>
    <t>4-5 PM</t>
  </si>
  <si>
    <t>Truck Demand</t>
  </si>
  <si>
    <t>Incremental MWh</t>
  </si>
  <si>
    <t>Base Revenue</t>
  </si>
  <si>
    <t>Miles per Kwh</t>
  </si>
  <si>
    <t>Avg Kwh/day</t>
  </si>
  <si>
    <t xml:space="preserve">Base revenue </t>
  </si>
  <si>
    <t>Avg miles driven/day</t>
  </si>
  <si>
    <t>US Annual Change</t>
  </si>
  <si>
    <t>FL Annual Change</t>
  </si>
  <si>
    <t>FPL Annual Change</t>
  </si>
  <si>
    <t>FPL as a % of National</t>
  </si>
  <si>
    <t>2009 EP Household Transportation Study, p23</t>
  </si>
  <si>
    <t>US Cumulative</t>
  </si>
  <si>
    <t>FL Cumulative</t>
  </si>
  <si>
    <t>FPL Cumulative</t>
  </si>
  <si>
    <t>2011¹</t>
  </si>
  <si>
    <t>2012²</t>
  </si>
  <si>
    <t>US EV Growth Rate</t>
  </si>
  <si>
    <t>Based on Experience to date with the fleet EVs</t>
  </si>
  <si>
    <t>AEO 2013 Light-Duty Vehicle Stock by Technology Type, Reference case</t>
  </si>
  <si>
    <t>(millions)</t>
  </si>
  <si>
    <t>Technology Type</t>
  </si>
  <si>
    <t>Growth Rate (2011-2040)</t>
  </si>
  <si>
    <t>Car Stock 1/</t>
  </si>
  <si>
    <t> Conventional Cars</t>
  </si>
  <si>
    <t>   Gasoline ICE Vehicles</t>
  </si>
  <si>
    <t>   TDI Diesel ICE</t>
  </si>
  <si>
    <t>     Total Conventional Cars</t>
  </si>
  <si>
    <t> Alternative-Fuel Cars</t>
  </si>
  <si>
    <t>   Ethanol-Flex Fuel ICE</t>
  </si>
  <si>
    <t>   100 Mile Electric Vehicle</t>
  </si>
  <si>
    <t>   200 Mile Electric Vehicle</t>
  </si>
  <si>
    <t>- -</t>
  </si>
  <si>
    <t>   Plug-in 10 Gasoline Hybrid</t>
  </si>
  <si>
    <t>   Plug-in 40 Gasoline Hybrid</t>
  </si>
  <si>
    <t>   Electric-Diesel Hybrid</t>
  </si>
  <si>
    <t>   Electric-Gasoline Hybrid</t>
  </si>
  <si>
    <t>   Natural Gas ICE</t>
  </si>
  <si>
    <t>   Natural Gas Bi-fuel</t>
  </si>
  <si>
    <t>   Propane ICE</t>
  </si>
  <si>
    <t>   Propane Bi-fuel</t>
  </si>
  <si>
    <t>   Fuel Cell Gasoline</t>
  </si>
  <si>
    <t>   Fuel Cell Methanol</t>
  </si>
  <si>
    <t>   Fuel Cell Hydrogen</t>
  </si>
  <si>
    <t>     Total Alternative Cars</t>
  </si>
  <si>
    <t>Total Car Stock</t>
  </si>
  <si>
    <t>Light Truck Stock 1/</t>
  </si>
  <si>
    <t> Conventional Light Trucks</t>
  </si>
  <si>
    <t>     Total Conventional Light Trucks</t>
  </si>
  <si>
    <t> Alternative-Fuel Light Trucks</t>
  </si>
  <si>
    <t>     Total Alternative Light Trucks</t>
  </si>
  <si>
    <t>Total Light Truck Stock</t>
  </si>
  <si>
    <t>Total Stock</t>
  </si>
  <si>
    <t>Total EVs (millions)</t>
  </si>
  <si>
    <t>Total EVs (actual)</t>
  </si>
  <si>
    <t>   1/ Includes personal and fleet vehicles.</t>
  </si>
  <si>
    <t>   ICE = Internal combustion engine.</t>
  </si>
  <si>
    <t>   - - = Not applicable.</t>
  </si>
  <si>
    <t>   Sources:  2010 and 2011 values derived using:  Energy</t>
  </si>
  <si>
    <t>Information Administration (EIA), Household Vehicles Energy Consumption</t>
  </si>
  <si>
    <t>1994, DOE/EIA-0464(94) (Washington, DC, August 1997); EIA, Describing Current and Potential Markets for</t>
  </si>
  <si>
    <t>Alternative-Fuel Vehicles, DOE/EIA-0604(96) (Washington, DC, March 1996); EIA, Alternatives to Traditional</t>
  </si>
  <si>
    <t>Transportation Fuels 2009 (Part II - User and Fuel Data), April 2011; Federal Highway Administration, Highway</t>
  </si>
  <si>
    <t>Statistics 2010 (Washington, DC, February 2012); Oak Ridge National Laboratory,</t>
  </si>
  <si>
    <t>Transportation Energy Data Book:  Edition 31 (Oak Ridge, TN, July 2012);</t>
  </si>
  <si>
    <t>and EIA, AEO2013 National Energy Modeling System.</t>
  </si>
  <si>
    <t>Projections:  EIA, AEO2013 National Energy Modeling System.</t>
  </si>
  <si>
    <t xml:space="preserve">Truck Forecast </t>
  </si>
  <si>
    <t xml:space="preserve">LDV Forecast </t>
  </si>
  <si>
    <t>FPL LDV</t>
  </si>
  <si>
    <t>FPL Truck</t>
  </si>
  <si>
    <t>FPL Total EV</t>
  </si>
  <si>
    <t xml:space="preserve">FPL EV  Forecast </t>
  </si>
  <si>
    <t>(GSLD-1 base rate)</t>
  </si>
  <si>
    <t>Truck Annual Assumptions</t>
  </si>
  <si>
    <t>% HD Truck</t>
  </si>
  <si>
    <t>% MD Truck</t>
  </si>
  <si>
    <t>No evidence about Truck Growth Rate so assuming same growth as LDVs</t>
  </si>
  <si>
    <t>Assuming same national percentage as LDVs</t>
  </si>
  <si>
    <t>Known that Smith sold 422 through June 2013 - 36 more than end of 2012</t>
  </si>
  <si>
    <t>Others creeping into the market (CCW) but no reports about numbers</t>
  </si>
  <si>
    <t>LDV Assumptions</t>
  </si>
  <si>
    <t>Forecast Change</t>
  </si>
  <si>
    <t>Previous FPL Forecast</t>
  </si>
  <si>
    <t>% Bus</t>
  </si>
  <si>
    <t>Operating Days/YR HD</t>
  </si>
  <si>
    <t>Operating Days/YR MD</t>
  </si>
  <si>
    <t>Operating Days/YR BUS</t>
  </si>
  <si>
    <t>Miles per Day - HD</t>
  </si>
  <si>
    <t>Miles per Day - MD</t>
  </si>
  <si>
    <t>Miles per Day - BUS</t>
  </si>
  <si>
    <t>Avg miles/Kwh HD</t>
  </si>
  <si>
    <t>Avg miles/Kwh MD</t>
  </si>
  <si>
    <t>Avg miles/Kwh BUS</t>
  </si>
  <si>
    <t>based on the relative number of busses verses HD and MD trucks as per U.S Freight Transportation Forecast to 2024 and http://www.fhwa.dot.gov/policyinformation/statistics/2010/mv1.cfm bus count</t>
  </si>
  <si>
    <t>Busses average 36,424 per year - http://www.apta.com/resources/statistics/Documents/FactBook/APTA_2012_Fact%20Book.pdf; assumed 100 miles per day based on discussions with CCW and busses they have deployed in Utah.</t>
  </si>
  <si>
    <t xml:space="preserve">Known that Smith sold 386 through 2012 </t>
  </si>
  <si>
    <t>Proterra busses - 20 known sales</t>
  </si>
  <si>
    <t>EVI 145 known sales</t>
  </si>
  <si>
    <t>Proterra</t>
  </si>
  <si>
    <t>Smith</t>
  </si>
  <si>
    <t>EVI</t>
  </si>
  <si>
    <t>eStar</t>
  </si>
  <si>
    <t>Total for 2013</t>
  </si>
  <si>
    <t>CCW</t>
  </si>
  <si>
    <t>N/A</t>
  </si>
  <si>
    <t>Assuming Smith will sell the same in 2nd half as in first for a total of 72 in 2013 giving them 458 through 2013</t>
  </si>
  <si>
    <t>E-star 17 known</t>
  </si>
  <si>
    <t>No one appears to be making or estimating Class 8 trucks</t>
  </si>
  <si>
    <t>BYD</t>
  </si>
  <si>
    <t xml:space="preserve">average miles per day class 4-7; year 2024; U.S Freight Transportation Forecast to 2024 by the American trucking Association via http://fleetowner.com/site-files/fleetowner.com/files/uploads/2013/07/future-trucking.jpg </t>
  </si>
  <si>
    <r>
      <t>Source: </t>
    </r>
    <r>
      <rPr>
        <u/>
        <sz val="10"/>
        <color rgb="FF183C56"/>
        <rFont val="Arial"/>
        <family val="2"/>
      </rPr>
      <t>Federal Highway Administration</t>
    </r>
    <r>
      <rPr>
        <sz val="10"/>
        <color rgb="FF333333"/>
        <rFont val="Arial"/>
        <family val="2"/>
      </rPr>
      <t> Table VM-1 </t>
    </r>
    <r>
      <rPr>
        <u/>
        <sz val="10"/>
        <color rgb="FF183C56"/>
        <rFont val="Arial"/>
        <family val="2"/>
      </rPr>
      <t>American Public Transit Association's Public Transportation Fact Book</t>
    </r>
    <r>
      <rPr>
        <sz val="10"/>
        <color rgb="FF333333"/>
        <rFont val="Arial"/>
        <family val="2"/>
      </rPr>
      <t> Tables 8, 16, and 21 plus interview with CCW</t>
    </r>
  </si>
  <si>
    <t>Bus Demand</t>
  </si>
  <si>
    <t>Based on conversations with Proterra and stated charge rates by BYD and CCW</t>
  </si>
  <si>
    <t>based on Complete Coachworks(CCW) estimates of 85/115 miles range on 213/242kWh battery</t>
  </si>
  <si>
    <t>based on a stated  100 mile range on 120kWh battery for a Smith Newton; FPL id getting 80 miles on an 80kWh battery on its E-Stars (1mile/kWh)</t>
  </si>
  <si>
    <t>Trucks</t>
  </si>
  <si>
    <t>BYD 0 as of 9/13 but with orders for next year in Long Beach</t>
  </si>
  <si>
    <t>Busses</t>
  </si>
  <si>
    <t>Complete Coachworks (CCW) - 5 busses</t>
  </si>
  <si>
    <t>NOTES</t>
  </si>
  <si>
    <t>http://cafe.nexteraenergy.com/sharepoint/cs/phev/EV%20Sales,%20Forecasts,%20and%20Distribution/EV%20Forecast/2013%20Forecast/2013%20MED%20HEAVY%20ELECTRIC%20TRUCK%20Forecast%20documentation/Truck%20Forecast%20data.xlsx</t>
  </si>
  <si>
    <t>http://cafe.nexteraenergy.com/sharepoint/cs/phev/EV%20Sales,%20Forecasts,%20and%20Distribution/EV%20Forecast/2013%20Forecast/2013%20MED%20HEAVY%20ELECTRIC%20TRUCK%20Forecast%20documentation/Truck%20Forecast%20notes.docx</t>
  </si>
  <si>
    <t>2013 est</t>
  </si>
  <si>
    <t>2014 est</t>
  </si>
  <si>
    <t>Bernstein</t>
  </si>
  <si>
    <t>CAR</t>
  </si>
  <si>
    <t>FPL</t>
  </si>
  <si>
    <t>Navigant</t>
  </si>
  <si>
    <t xml:space="preserve">EIA </t>
  </si>
  <si>
    <t>*Trends and assumptions were made for where forecast data was unavailable, leveraging the existing trend of the data to make the assumption for future years.</t>
  </si>
  <si>
    <t>Count Reduction</t>
  </si>
  <si>
    <t>% Difference</t>
  </si>
  <si>
    <t>FPL 2013 PEV U.S. Forecast</t>
  </si>
  <si>
    <t>FPL 2014 PEV U.S. Forecast</t>
  </si>
  <si>
    <t>*Actual sales numbers</t>
  </si>
  <si>
    <t>2011*</t>
  </si>
  <si>
    <t>2012*</t>
  </si>
  <si>
    <t>2013*</t>
  </si>
  <si>
    <t>2014*</t>
  </si>
  <si>
    <t>FPL Cummulative</t>
  </si>
  <si>
    <t>Includes LDV's and Trucks</t>
  </si>
  <si>
    <t>Number of Vehicles</t>
  </si>
  <si>
    <t>MWH Usage</t>
  </si>
  <si>
    <t>MWH per Vehicle</t>
  </si>
  <si>
    <t>Difference in Forecasts</t>
  </si>
  <si>
    <t>Percent Difference in Forecasts</t>
  </si>
  <si>
    <t>Vehicles</t>
  </si>
  <si>
    <t>MWH</t>
  </si>
  <si>
    <t>MWH/Vehicle</t>
  </si>
  <si>
    <t>LDV Demand</t>
  </si>
  <si>
    <t>Changed from 3.3 in 2011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</si>
  <si>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</si>
  <si>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</si>
  <si>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</si>
  <si>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</si>
  <si>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</si>
  <si>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</si>
  <si>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</si>
  <si>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</si>
  <si>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</si>
  <si>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</si>
  <si>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</si>
  <si>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</si>
  <si>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</si>
  <si>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</si>
  <si>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Peak load only considers the peak hour and does not look at the remainder of the load curve.</t>
  </si>
  <si>
    <t>2025</t>
  </si>
  <si>
    <t>2026</t>
  </si>
  <si>
    <t>Annual Assumptions (LDV's)</t>
  </si>
  <si>
    <t>2027</t>
  </si>
  <si>
    <t>2028</t>
  </si>
  <si>
    <t>2029</t>
  </si>
  <si>
    <t>2030</t>
  </si>
  <si>
    <t>Summer Peak due to Plug-in Electric Vehicles</t>
  </si>
  <si>
    <t>Winter Peak due to Plug-in Electric Vehicles</t>
  </si>
  <si>
    <t>Difference between current &amp; prior forecast</t>
  </si>
  <si>
    <t>(Includes vehicles and trucks)</t>
  </si>
  <si>
    <t>Prior Fcst</t>
  </si>
  <si>
    <t>Summer</t>
  </si>
  <si>
    <t>Winter</t>
  </si>
  <si>
    <t>MW</t>
  </si>
  <si>
    <t>NEL</t>
  </si>
  <si>
    <t>Calendar Days</t>
  </si>
  <si>
    <t>total-MWH</t>
  </si>
  <si>
    <t>Monthly MWH</t>
  </si>
  <si>
    <t>weight</t>
  </si>
  <si>
    <t>check from FORECAST worksheet</t>
  </si>
  <si>
    <t>OPC 010122</t>
  </si>
  <si>
    <t>FPL RC-16</t>
  </si>
  <si>
    <t>OPC 010123</t>
  </si>
  <si>
    <t>OPC 010124</t>
  </si>
  <si>
    <t>OPC 010125</t>
  </si>
  <si>
    <t>OPC 010126</t>
  </si>
  <si>
    <t>OPC 010127</t>
  </si>
  <si>
    <t>OPC 010128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</si>
</sst>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&quot;$&quot;#,##0.000"/>
    <numFmt numFmtId="167" formatCode="[$-409]mmm\-yy;@"/>
    <numFmt numFmtId="168" formatCode="_(&quot;$&quot;* #,##0_);_(&quot;$&quot;* \(#,##0\);_(&quot;$&quot;* &quot;-&quot;??_);_(@_)"/>
    <numFmt numFmtId="169" formatCode="0.0%"/>
    <numFmt numFmtId="170" formatCode="_-* #,##0.00\ _D_M_-;\-* #,##0.00\ _D_M_-;_-* &quot;-&quot;??\ _D_M_-;_-@_-"/>
    <numFmt numFmtId="171" formatCode="#,##0.0000000"/>
    <numFmt numFmtId="172" formatCode="#,##0.0"/>
    <numFmt numFmtId="173" formatCode="#,##0.0000"/>
    <numFmt numFmtId="174" formatCode="#,##0.000"/>
    <numFmt numFmtId="175" formatCode="#,##0.00000"/>
    <numFmt numFmtId="176" formatCode="0.0"/>
    <numFmt numFmtId="177" formatCode="0.000000"/>
    <numFmt numFmtId="178" formatCode="0.0000%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sz val="13.5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4F6228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u/>
      <sz val="10"/>
      <color rgb="FF183C56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5"/>
      <color theme="0"/>
      <name val="Calibri"/>
      <family val="2"/>
      <scheme val="minor"/>
    </font>
    <font>
      <b/>
      <sz val="13"/>
      <color indexed="62"/>
      <name val="Calibri"/>
      <family val="2"/>
    </font>
    <font>
      <sz val="13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3"/>
      <color rgb="FFFF0000"/>
      <name val="Calibri"/>
      <family val="2"/>
      <scheme val="minor"/>
    </font>
    <font>
      <b/>
      <sz val="11"/>
      <color indexed="62"/>
      <name val="Calibri"/>
      <family val="2"/>
    </font>
    <font>
      <i/>
      <sz val="10"/>
      <color rgb="FF7F7F7F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/>
      <right style="medium">
        <color indexed="64"/>
      </right>
      <top/>
      <bottom style="thick">
        <color theme="4" tint="0.499984740745262"/>
      </bottom>
      <diagonal/>
    </border>
    <border>
      <left style="medium">
        <color indexed="64"/>
      </left>
      <right/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/>
      </bottom>
      <diagonal/>
    </border>
    <border>
      <left style="medium">
        <color indexed="64"/>
      </left>
      <right/>
      <top style="thick">
        <color theme="4"/>
      </top>
      <bottom style="thick">
        <color theme="4" tint="0.499984740745262"/>
      </bottom>
      <diagonal/>
    </border>
    <border>
      <left/>
      <right/>
      <top style="thick">
        <color theme="4"/>
      </top>
      <bottom style="thick">
        <color theme="4" tint="0.499984740745262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48"/>
      </bottom>
      <diagonal/>
    </border>
    <border>
      <left style="thick">
        <color indexed="48"/>
      </left>
      <right/>
      <top style="thick">
        <color indexed="48"/>
      </top>
      <bottom style="thick">
        <color indexed="48"/>
      </bottom>
      <diagonal/>
    </border>
    <border>
      <left/>
      <right/>
      <top style="thick">
        <color indexed="48"/>
      </top>
      <bottom style="thick">
        <color indexed="48"/>
      </bottom>
      <diagonal/>
    </border>
    <border>
      <left/>
      <right style="thick">
        <color indexed="48"/>
      </right>
      <top style="thick">
        <color indexed="48"/>
      </top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 style="medium">
        <color indexed="64"/>
      </right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86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8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14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25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29" fillId="0" borderId="27" applyNumberFormat="0" applyFill="0" applyAlignment="0" applyProtection="0"/>
    <xf numFmtId="0" fontId="31" fillId="0" borderId="31" applyNumberFormat="0" applyFill="0" applyAlignment="0" applyProtection="0"/>
    <xf numFmtId="0" fontId="34" fillId="6" borderId="0" applyNumberFormat="0" applyBorder="0" applyAlignment="0" applyProtection="0"/>
    <xf numFmtId="0" fontId="35" fillId="4" borderId="0" applyNumberFormat="0" applyBorder="0" applyAlignment="0" applyProtection="0"/>
    <xf numFmtId="0" fontId="37" fillId="0" borderId="0" applyNumberFormat="0" applyFill="0" applyBorder="0" applyAlignment="0" applyProtection="0"/>
    <xf numFmtId="170" fontId="6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6" fillId="0" borderId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2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28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28" fillId="21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28" fillId="21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28" fillId="14" borderId="0" applyNumberFormat="0" applyBorder="0" applyAlignment="0" applyProtection="0"/>
    <xf numFmtId="0" fontId="39" fillId="22" borderId="0" applyNumberFormat="0" applyBorder="0" applyAlignment="0" applyProtection="0"/>
    <xf numFmtId="0" fontId="39" fillId="17" borderId="0" applyNumberFormat="0" applyBorder="0" applyAlignment="0" applyProtection="0"/>
    <xf numFmtId="0" fontId="28" fillId="23" borderId="0" applyNumberFormat="0" applyBorder="0" applyAlignment="0" applyProtection="0"/>
    <xf numFmtId="177" fontId="6" fillId="0" borderId="0">
      <alignment horizontal="left" wrapText="1"/>
    </xf>
    <xf numFmtId="0" fontId="6" fillId="0" borderId="0"/>
    <xf numFmtId="4" fontId="40" fillId="24" borderId="36" applyNumberFormat="0" applyProtection="0">
      <alignment vertical="center"/>
    </xf>
    <xf numFmtId="4" fontId="41" fillId="24" borderId="36" applyNumberFormat="0" applyProtection="0">
      <alignment vertical="center"/>
    </xf>
    <xf numFmtId="4" fontId="40" fillId="24" borderId="36" applyNumberFormat="0" applyProtection="0">
      <alignment horizontal="left" vertical="center" indent="1"/>
    </xf>
    <xf numFmtId="0" fontId="40" fillId="24" borderId="36" applyNumberFormat="0" applyProtection="0">
      <alignment horizontal="left" vertical="top" indent="1"/>
    </xf>
    <xf numFmtId="4" fontId="40" fillId="25" borderId="0" applyNumberFormat="0" applyProtection="0">
      <alignment horizontal="left" vertical="center" indent="1"/>
    </xf>
    <xf numFmtId="4" fontId="42" fillId="26" borderId="36" applyNumberFormat="0" applyProtection="0">
      <alignment horizontal="right" vertical="center"/>
    </xf>
    <xf numFmtId="4" fontId="42" fillId="27" borderId="36" applyNumberFormat="0" applyProtection="0">
      <alignment horizontal="right" vertical="center"/>
    </xf>
    <xf numFmtId="4" fontId="42" fillId="28" borderId="36" applyNumberFormat="0" applyProtection="0">
      <alignment horizontal="right" vertical="center"/>
    </xf>
    <xf numFmtId="4" fontId="42" fillId="29" borderId="36" applyNumberFormat="0" applyProtection="0">
      <alignment horizontal="right" vertical="center"/>
    </xf>
    <xf numFmtId="4" fontId="42" fillId="30" borderId="36" applyNumberFormat="0" applyProtection="0">
      <alignment horizontal="right" vertical="center"/>
    </xf>
    <xf numFmtId="4" fontId="42" fillId="31" borderId="36" applyNumberFormat="0" applyProtection="0">
      <alignment horizontal="right" vertical="center"/>
    </xf>
    <xf numFmtId="4" fontId="42" fillId="32" borderId="36" applyNumberFormat="0" applyProtection="0">
      <alignment horizontal="right" vertical="center"/>
    </xf>
    <xf numFmtId="4" fontId="42" fillId="33" borderId="36" applyNumberFormat="0" applyProtection="0">
      <alignment horizontal="right" vertical="center"/>
    </xf>
    <xf numFmtId="4" fontId="42" fillId="34" borderId="36" applyNumberFormat="0" applyProtection="0">
      <alignment horizontal="right" vertical="center"/>
    </xf>
    <xf numFmtId="4" fontId="40" fillId="35" borderId="37" applyNumberFormat="0" applyProtection="0">
      <alignment horizontal="left" vertical="center" indent="1"/>
    </xf>
    <xf numFmtId="4" fontId="42" fillId="36" borderId="0" applyNumberFormat="0" applyProtection="0">
      <alignment horizontal="left" vertical="center" indent="1"/>
    </xf>
    <xf numFmtId="4" fontId="43" fillId="37" borderId="0" applyNumberFormat="0" applyProtection="0">
      <alignment horizontal="left" vertical="center" indent="1"/>
    </xf>
    <xf numFmtId="4" fontId="42" fillId="25" borderId="36" applyNumberFormat="0" applyProtection="0">
      <alignment horizontal="right" vertical="center"/>
    </xf>
    <xf numFmtId="4" fontId="42" fillId="36" borderId="0" applyNumberFormat="0" applyProtection="0">
      <alignment horizontal="left" vertical="center" indent="1"/>
    </xf>
    <xf numFmtId="4" fontId="42" fillId="25" borderId="0" applyNumberFormat="0" applyProtection="0">
      <alignment horizontal="left" vertical="center" indent="1"/>
    </xf>
    <xf numFmtId="0" fontId="6" fillId="37" borderId="36" applyNumberFormat="0" applyProtection="0">
      <alignment horizontal="left" vertical="center" indent="1"/>
    </xf>
    <xf numFmtId="0" fontId="6" fillId="37" borderId="36" applyNumberFormat="0" applyProtection="0">
      <alignment horizontal="left" vertical="top" indent="1"/>
    </xf>
    <xf numFmtId="0" fontId="6" fillId="25" borderId="36" applyNumberFormat="0" applyProtection="0">
      <alignment horizontal="left" vertical="center" indent="1"/>
    </xf>
    <xf numFmtId="0" fontId="6" fillId="25" borderId="36" applyNumberFormat="0" applyProtection="0">
      <alignment horizontal="left" vertical="top" indent="1"/>
    </xf>
    <xf numFmtId="0" fontId="6" fillId="38" borderId="36" applyNumberFormat="0" applyProtection="0">
      <alignment horizontal="left" vertical="center" indent="1"/>
    </xf>
    <xf numFmtId="0" fontId="6" fillId="38" borderId="36" applyNumberFormat="0" applyProtection="0">
      <alignment horizontal="left" vertical="top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top" indent="1"/>
    </xf>
    <xf numFmtId="0" fontId="6" fillId="39" borderId="1" applyNumberFormat="0">
      <protection locked="0"/>
    </xf>
    <xf numFmtId="4" fontId="42" fillId="40" borderId="36" applyNumberFormat="0" applyProtection="0">
      <alignment vertical="center"/>
    </xf>
    <xf numFmtId="4" fontId="44" fillId="40" borderId="36" applyNumberFormat="0" applyProtection="0">
      <alignment vertical="center"/>
    </xf>
    <xf numFmtId="4" fontId="42" fillId="40" borderId="36" applyNumberFormat="0" applyProtection="0">
      <alignment horizontal="left" vertical="center" indent="1"/>
    </xf>
    <xf numFmtId="0" fontId="42" fillId="40" borderId="36" applyNumberFormat="0" applyProtection="0">
      <alignment horizontal="left" vertical="top" indent="1"/>
    </xf>
    <xf numFmtId="4" fontId="42" fillId="36" borderId="36" applyNumberFormat="0" applyProtection="0">
      <alignment horizontal="right" vertical="center"/>
    </xf>
    <xf numFmtId="4" fontId="44" fillId="36" borderId="36" applyNumberFormat="0" applyProtection="0">
      <alignment horizontal="right" vertical="center"/>
    </xf>
    <xf numFmtId="4" fontId="42" fillId="25" borderId="36" applyNumberFormat="0" applyProtection="0">
      <alignment horizontal="left" vertical="center" indent="1"/>
    </xf>
    <xf numFmtId="0" fontId="42" fillId="25" borderId="36" applyNumberFormat="0" applyProtection="0">
      <alignment horizontal="left" vertical="top" indent="1"/>
    </xf>
    <xf numFmtId="4" fontId="45" fillId="41" borderId="0" applyNumberFormat="0" applyProtection="0">
      <alignment horizontal="left" vertical="center" indent="1"/>
    </xf>
    <xf numFmtId="4" fontId="46" fillId="36" borderId="36" applyNumberFormat="0" applyProtection="0">
      <alignment horizontal="right" vertical="center"/>
    </xf>
    <xf numFmtId="0" fontId="47" fillId="0" borderId="0" applyNumberFormat="0" applyFill="0" applyBorder="0" applyAlignment="0" applyProtection="0"/>
  </cellStyleXfs>
  <cellXfs count="319">
    <xf numFmtId="0" fontId="0" fillId="0" borderId="0" xfId="0"/>
    <xf numFmtId="49" fontId="6" fillId="0" borderId="0" xfId="3" applyNumberFormat="1" applyFont="1" applyFill="1" applyBorder="1" applyAlignment="1"/>
    <xf numFmtId="0" fontId="6" fillId="0" borderId="0" xfId="3" applyFont="1"/>
    <xf numFmtId="164" fontId="6" fillId="0" borderId="0" xfId="1" applyNumberFormat="1" applyFont="1" applyAlignment="1">
      <alignment horizontal="center"/>
    </xf>
    <xf numFmtId="0" fontId="6" fillId="0" borderId="0" xfId="3" applyFont="1" applyAlignment="1">
      <alignment horizontal="center"/>
    </xf>
    <xf numFmtId="164" fontId="6" fillId="0" borderId="0" xfId="1" applyNumberFormat="1" applyFont="1" applyAlignment="1">
      <alignment horizontal="left"/>
    </xf>
    <xf numFmtId="3" fontId="6" fillId="0" borderId="0" xfId="3" applyNumberFormat="1" applyFont="1"/>
    <xf numFmtId="0" fontId="6" fillId="0" borderId="0" xfId="3" applyFont="1" applyFill="1"/>
    <xf numFmtId="0" fontId="9" fillId="0" borderId="0" xfId="2" applyNumberFormat="1" applyFont="1" applyAlignment="1">
      <alignment horizontal="center"/>
    </xf>
    <xf numFmtId="2" fontId="6" fillId="0" borderId="0" xfId="3" applyNumberFormat="1" applyFont="1" applyFill="1" applyBorder="1" applyAlignment="1">
      <alignment horizontal="center"/>
    </xf>
    <xf numFmtId="0" fontId="10" fillId="0" borderId="0" xfId="3" applyFont="1"/>
    <xf numFmtId="0" fontId="6" fillId="0" borderId="0" xfId="2" applyNumberFormat="1" applyAlignment="1">
      <alignment horizontal="center"/>
    </xf>
    <xf numFmtId="166" fontId="6" fillId="0" borderId="0" xfId="1" applyNumberFormat="1" applyFont="1" applyAlignment="1"/>
    <xf numFmtId="2" fontId="6" fillId="0" borderId="0" xfId="3" applyNumberFormat="1" applyFont="1" applyAlignment="1">
      <alignment horizontal="center"/>
    </xf>
    <xf numFmtId="0" fontId="11" fillId="0" borderId="9" xfId="6" applyBorder="1"/>
    <xf numFmtId="0" fontId="11" fillId="0" borderId="10" xfId="6" applyBorder="1"/>
    <xf numFmtId="0" fontId="11" fillId="0" borderId="11" xfId="6" applyBorder="1"/>
    <xf numFmtId="0" fontId="12" fillId="0" borderId="8" xfId="7" applyBorder="1"/>
    <xf numFmtId="0" fontId="15" fillId="0" borderId="13" xfId="7" applyFont="1" applyBorder="1" applyAlignment="1">
      <alignment horizontal="left"/>
    </xf>
    <xf numFmtId="0" fontId="12" fillId="0" borderId="12" xfId="7" quotePrefix="1" applyBorder="1" applyAlignment="1">
      <alignment horizontal="left"/>
    </xf>
    <xf numFmtId="0" fontId="12" fillId="0" borderId="8" xfId="7" applyBorder="1" applyAlignment="1">
      <alignment horizontal="center"/>
    </xf>
    <xf numFmtId="0" fontId="12" fillId="0" borderId="13" xfId="7" applyBorder="1"/>
    <xf numFmtId="0" fontId="5" fillId="4" borderId="2" xfId="10" applyBorder="1" applyAlignment="1">
      <alignment horizontal="center"/>
    </xf>
    <xf numFmtId="0" fontId="5" fillId="4" borderId="0" xfId="10" applyBorder="1"/>
    <xf numFmtId="9" fontId="5" fillId="4" borderId="0" xfId="10" applyNumberFormat="1" applyBorder="1" applyAlignment="1">
      <alignment horizontal="center"/>
    </xf>
    <xf numFmtId="0" fontId="5" fillId="4" borderId="3" xfId="10" applyBorder="1"/>
    <xf numFmtId="0" fontId="11" fillId="0" borderId="14" xfId="6" applyBorder="1"/>
    <xf numFmtId="0" fontId="11" fillId="0" borderId="7" xfId="6" applyBorder="1"/>
    <xf numFmtId="0" fontId="11" fillId="0" borderId="7" xfId="6" applyBorder="1" applyAlignment="1">
      <alignment horizontal="center"/>
    </xf>
    <xf numFmtId="0" fontId="11" fillId="0" borderId="15" xfId="6" applyBorder="1"/>
    <xf numFmtId="0" fontId="5" fillId="4" borderId="4" xfId="10" applyBorder="1" applyAlignment="1">
      <alignment horizontal="center"/>
    </xf>
    <xf numFmtId="0" fontId="5" fillId="4" borderId="5" xfId="10" applyBorder="1"/>
    <xf numFmtId="9" fontId="5" fillId="4" borderId="5" xfId="10" applyNumberFormat="1" applyBorder="1" applyAlignment="1">
      <alignment horizontal="center"/>
    </xf>
    <xf numFmtId="0" fontId="5" fillId="4" borderId="6" xfId="10" applyBorder="1"/>
    <xf numFmtId="49" fontId="11" fillId="0" borderId="7" xfId="6" applyNumberFormat="1" applyFill="1" applyAlignment="1"/>
    <xf numFmtId="49" fontId="14" fillId="3" borderId="0" xfId="9" applyNumberFormat="1" applyBorder="1" applyAlignment="1"/>
    <xf numFmtId="0" fontId="14" fillId="3" borderId="0" xfId="9" applyAlignment="1">
      <alignment horizontal="center"/>
    </xf>
    <xf numFmtId="0" fontId="14" fillId="3" borderId="0" xfId="9"/>
    <xf numFmtId="0" fontId="14" fillId="3" borderId="1" xfId="9" applyNumberFormat="1" applyBorder="1" applyAlignment="1">
      <alignment horizontal="center"/>
    </xf>
    <xf numFmtId="0" fontId="5" fillId="5" borderId="1" xfId="11" applyNumberFormat="1" applyBorder="1" applyAlignment="1">
      <alignment horizontal="center"/>
    </xf>
    <xf numFmtId="164" fontId="5" fillId="4" borderId="1" xfId="10" applyNumberFormat="1" applyBorder="1" applyAlignment="1">
      <alignment horizontal="left"/>
    </xf>
    <xf numFmtId="10" fontId="5" fillId="4" borderId="1" xfId="10" applyNumberFormat="1" applyBorder="1" applyAlignment="1">
      <alignment horizontal="left"/>
    </xf>
    <xf numFmtId="2" fontId="5" fillId="4" borderId="1" xfId="10" applyNumberFormat="1" applyBorder="1" applyAlignment="1">
      <alignment horizontal="left"/>
    </xf>
    <xf numFmtId="0" fontId="11" fillId="2" borderId="7" xfId="6" applyFill="1" applyAlignment="1">
      <alignment horizontal="right" wrapText="1"/>
    </xf>
    <xf numFmtId="0" fontId="11" fillId="2" borderId="7" xfId="6" applyFill="1" applyAlignment="1">
      <alignment wrapText="1"/>
    </xf>
    <xf numFmtId="164" fontId="12" fillId="2" borderId="8" xfId="7" applyNumberFormat="1" applyFill="1" applyAlignment="1">
      <alignment horizontal="center" wrapText="1"/>
    </xf>
    <xf numFmtId="0" fontId="12" fillId="2" borderId="8" xfId="7" applyFill="1" applyAlignment="1">
      <alignment horizontal="center" wrapText="1"/>
    </xf>
    <xf numFmtId="0" fontId="12" fillId="2" borderId="8" xfId="7" applyFill="1" applyAlignment="1">
      <alignment wrapText="1"/>
    </xf>
    <xf numFmtId="2" fontId="14" fillId="3" borderId="0" xfId="9" applyNumberFormat="1" applyAlignment="1">
      <alignment horizontal="center"/>
    </xf>
    <xf numFmtId="2" fontId="14" fillId="3" borderId="7" xfId="9" applyNumberFormat="1" applyBorder="1" applyAlignment="1">
      <alignment horizontal="center"/>
    </xf>
    <xf numFmtId="9" fontId="14" fillId="3" borderId="0" xfId="9" applyNumberFormat="1" applyBorder="1" applyAlignment="1">
      <alignment horizontal="center"/>
    </xf>
    <xf numFmtId="2" fontId="14" fillId="3" borderId="0" xfId="9" applyNumberFormat="1" applyBorder="1" applyAlignment="1">
      <alignment horizontal="center"/>
    </xf>
    <xf numFmtId="164" fontId="14" fillId="3" borderId="0" xfId="9" applyNumberFormat="1" applyAlignment="1">
      <alignment horizontal="left"/>
    </xf>
    <xf numFmtId="0" fontId="14" fillId="3" borderId="0" xfId="9" applyAlignment="1">
      <alignment horizontal="center" wrapText="1"/>
    </xf>
    <xf numFmtId="2" fontId="14" fillId="3" borderId="0" xfId="9" applyNumberFormat="1" applyBorder="1" applyAlignment="1">
      <alignment horizontal="center" wrapText="1"/>
    </xf>
    <xf numFmtId="164" fontId="11" fillId="0" borderId="7" xfId="6" applyNumberFormat="1" applyAlignment="1">
      <alignment horizontal="left"/>
    </xf>
    <xf numFmtId="49" fontId="5" fillId="4" borderId="0" xfId="10" applyNumberFormat="1" applyBorder="1" applyAlignment="1"/>
    <xf numFmtId="166" fontId="5" fillId="4" borderId="0" xfId="10" applyNumberFormat="1" applyAlignment="1"/>
    <xf numFmtId="164" fontId="5" fillId="4" borderId="0" xfId="10" applyNumberFormat="1" applyAlignment="1"/>
    <xf numFmtId="165" fontId="5" fillId="4" borderId="0" xfId="10" applyNumberFormat="1" applyAlignment="1"/>
    <xf numFmtId="43" fontId="5" fillId="4" borderId="0" xfId="10" applyNumberFormat="1" applyAlignment="1"/>
    <xf numFmtId="165" fontId="16" fillId="0" borderId="0" xfId="8" applyNumberFormat="1" applyFont="1" applyAlignment="1">
      <alignment horizontal="left"/>
    </xf>
    <xf numFmtId="0" fontId="14" fillId="6" borderId="7" xfId="12" applyBorder="1" applyAlignment="1">
      <alignment horizontal="left" wrapText="1"/>
    </xf>
    <xf numFmtId="0" fontId="15" fillId="0" borderId="8" xfId="7" applyFont="1" applyBorder="1" applyAlignment="1">
      <alignment horizontal="right"/>
    </xf>
    <xf numFmtId="164" fontId="4" fillId="4" borderId="1" xfId="10" applyNumberFormat="1" applyFont="1" applyBorder="1" applyAlignment="1">
      <alignment horizontal="left"/>
    </xf>
    <xf numFmtId="10" fontId="5" fillId="4" borderId="1" xfId="4" applyNumberFormat="1" applyFont="1" applyFill="1" applyBorder="1" applyAlignment="1">
      <alignment horizontal="left"/>
    </xf>
    <xf numFmtId="0" fontId="9" fillId="0" borderId="0" xfId="0" applyFont="1"/>
    <xf numFmtId="49" fontId="9" fillId="0" borderId="0" xfId="3" applyNumberFormat="1" applyFont="1" applyFill="1" applyBorder="1" applyAlignment="1"/>
    <xf numFmtId="167" fontId="11" fillId="0" borderId="7" xfId="6" applyNumberFormat="1" applyFill="1" applyAlignment="1" applyProtection="1">
      <protection locked="0"/>
    </xf>
    <xf numFmtId="167" fontId="14" fillId="6" borderId="7" xfId="12" applyNumberFormat="1" applyBorder="1" applyAlignment="1">
      <alignment horizontal="left" wrapText="1"/>
    </xf>
    <xf numFmtId="164" fontId="5" fillId="5" borderId="1" xfId="11" applyNumberFormat="1" applyBorder="1" applyAlignment="1">
      <alignment horizontal="left"/>
    </xf>
    <xf numFmtId="0" fontId="14" fillId="3" borderId="0" xfId="9"/>
    <xf numFmtId="0" fontId="14" fillId="3" borderId="0" xfId="9" applyAlignment="1">
      <alignment horizontal="center" wrapText="1"/>
    </xf>
    <xf numFmtId="0" fontId="18" fillId="0" borderId="20" xfId="0" applyFont="1" applyBorder="1" applyAlignment="1">
      <alignment wrapText="1"/>
    </xf>
    <xf numFmtId="0" fontId="18" fillId="0" borderId="19" xfId="0" applyFont="1" applyBorder="1" applyAlignment="1">
      <alignment horizontal="center" wrapText="1"/>
    </xf>
    <xf numFmtId="0" fontId="0" fillId="0" borderId="18" xfId="0" applyBorder="1"/>
    <xf numFmtId="0" fontId="0" fillId="0" borderId="21" xfId="0" applyBorder="1" applyAlignment="1">
      <alignment wrapText="1"/>
    </xf>
    <xf numFmtId="0" fontId="18" fillId="0" borderId="21" xfId="0" applyFont="1" applyBorder="1" applyAlignment="1">
      <alignment wrapText="1"/>
    </xf>
    <xf numFmtId="0" fontId="0" fillId="0" borderId="0" xfId="0" applyAlignment="1">
      <alignment wrapText="1"/>
    </xf>
    <xf numFmtId="10" fontId="0" fillId="0" borderId="0" xfId="0" applyNumberFormat="1" applyAlignment="1">
      <alignment wrapText="1"/>
    </xf>
    <xf numFmtId="0" fontId="18" fillId="0" borderId="0" xfId="0" applyFont="1" applyAlignment="1">
      <alignment wrapText="1"/>
    </xf>
    <xf numFmtId="10" fontId="18" fillId="0" borderId="0" xfId="0" applyNumberFormat="1" applyFont="1" applyAlignment="1">
      <alignment wrapText="1"/>
    </xf>
    <xf numFmtId="0" fontId="19" fillId="0" borderId="21" xfId="0" applyFont="1" applyBorder="1" applyAlignment="1">
      <alignment horizontal="right" wrapText="1"/>
    </xf>
    <xf numFmtId="0" fontId="19" fillId="0" borderId="0" xfId="0" applyFont="1" applyAlignment="1">
      <alignment wrapText="1"/>
    </xf>
    <xf numFmtId="10" fontId="19" fillId="0" borderId="0" xfId="0" applyNumberFormat="1" applyFont="1" applyAlignment="1">
      <alignment wrapText="1"/>
    </xf>
    <xf numFmtId="0" fontId="19" fillId="0" borderId="0" xfId="0" applyFont="1"/>
    <xf numFmtId="164" fontId="19" fillId="0" borderId="0" xfId="1" applyNumberFormat="1" applyFont="1" applyAlignment="1">
      <alignment wrapText="1"/>
    </xf>
    <xf numFmtId="0" fontId="0" fillId="0" borderId="22" xfId="0" applyBorder="1"/>
    <xf numFmtId="164" fontId="5" fillId="0" borderId="1" xfId="10" applyNumberFormat="1" applyFill="1" applyBorder="1" applyAlignment="1">
      <alignment horizontal="left"/>
    </xf>
    <xf numFmtId="164" fontId="6" fillId="0" borderId="0" xfId="3" applyNumberFormat="1" applyFont="1"/>
    <xf numFmtId="164" fontId="14" fillId="3" borderId="0" xfId="9" applyNumberFormat="1" applyBorder="1" applyAlignment="1">
      <alignment horizontal="left"/>
    </xf>
    <xf numFmtId="0" fontId="12" fillId="2" borderId="0" xfId="7" applyFill="1" applyBorder="1" applyAlignment="1">
      <alignment horizontal="center" wrapText="1"/>
    </xf>
    <xf numFmtId="164" fontId="14" fillId="3" borderId="0" xfId="9" applyNumberFormat="1" applyBorder="1" applyAlignment="1">
      <alignment horizontal="center" wrapText="1"/>
    </xf>
    <xf numFmtId="0" fontId="14" fillId="3" borderId="7" xfId="9" applyBorder="1" applyAlignment="1">
      <alignment wrapText="1"/>
    </xf>
    <xf numFmtId="164" fontId="4" fillId="4" borderId="23" xfId="10" applyNumberFormat="1" applyFont="1" applyBorder="1" applyAlignment="1">
      <alignment horizontal="left"/>
    </xf>
    <xf numFmtId="0" fontId="0" fillId="0" borderId="0" xfId="3" applyFont="1"/>
    <xf numFmtId="49" fontId="3" fillId="4" borderId="0" xfId="10" applyNumberFormat="1" applyFont="1" applyBorder="1" applyAlignment="1"/>
    <xf numFmtId="9" fontId="5" fillId="4" borderId="0" xfId="4" applyFont="1" applyFill="1" applyAlignment="1"/>
    <xf numFmtId="9" fontId="21" fillId="4" borderId="0" xfId="4" applyFont="1" applyFill="1" applyAlignment="1"/>
    <xf numFmtId="0" fontId="9" fillId="0" borderId="0" xfId="3" applyFont="1"/>
    <xf numFmtId="0" fontId="12" fillId="0" borderId="17" xfId="7" applyBorder="1" applyAlignment="1">
      <alignment horizontal="right"/>
    </xf>
    <xf numFmtId="0" fontId="14" fillId="3" borderId="0" xfId="9"/>
    <xf numFmtId="0" fontId="14" fillId="3" borderId="0" xfId="9" applyAlignment="1">
      <alignment horizontal="center" wrapText="1"/>
    </xf>
    <xf numFmtId="49" fontId="2" fillId="4" borderId="0" xfId="10" applyNumberFormat="1" applyFont="1" applyBorder="1" applyAlignment="1"/>
    <xf numFmtId="165" fontId="20" fillId="4" borderId="0" xfId="10" applyNumberFormat="1" applyFont="1" applyAlignment="1"/>
    <xf numFmtId="0" fontId="6" fillId="0" borderId="0" xfId="0" applyFont="1"/>
    <xf numFmtId="165" fontId="1" fillId="4" borderId="0" xfId="10" applyNumberFormat="1" applyFont="1" applyAlignment="1"/>
    <xf numFmtId="43" fontId="1" fillId="4" borderId="0" xfId="10" applyNumberFormat="1" applyFont="1" applyAlignment="1"/>
    <xf numFmtId="44" fontId="5" fillId="4" borderId="1" xfId="5" applyFont="1" applyFill="1" applyBorder="1" applyAlignment="1">
      <alignment horizontal="left"/>
    </xf>
    <xf numFmtId="44" fontId="1" fillId="4" borderId="23" xfId="5" applyNumberFormat="1" applyFont="1" applyFill="1" applyBorder="1" applyAlignment="1">
      <alignment horizontal="center"/>
    </xf>
    <xf numFmtId="164" fontId="5" fillId="2" borderId="1" xfId="10" applyNumberFormat="1" applyFill="1" applyBorder="1" applyAlignment="1">
      <alignment horizontal="left"/>
    </xf>
    <xf numFmtId="164" fontId="1" fillId="7" borderId="1" xfId="13" applyNumberFormat="1" applyBorder="1" applyAlignment="1">
      <alignment horizontal="left"/>
    </xf>
    <xf numFmtId="164" fontId="5" fillId="4" borderId="1" xfId="10" applyNumberFormat="1" applyBorder="1" applyAlignment="1">
      <alignment horizontal="center"/>
    </xf>
    <xf numFmtId="38" fontId="5" fillId="4" borderId="1" xfId="10" applyNumberFormat="1" applyBorder="1" applyAlignment="1">
      <alignment horizontal="center"/>
    </xf>
    <xf numFmtId="44" fontId="5" fillId="4" borderId="1" xfId="10" applyNumberFormat="1" applyBorder="1" applyAlignment="1">
      <alignment horizontal="center"/>
    </xf>
    <xf numFmtId="0" fontId="23" fillId="0" borderId="0" xfId="0" applyFont="1"/>
    <xf numFmtId="0" fontId="1" fillId="9" borderId="0" xfId="15"/>
    <xf numFmtId="0" fontId="1" fillId="8" borderId="0" xfId="14"/>
    <xf numFmtId="0" fontId="22" fillId="9" borderId="0" xfId="15" applyFont="1"/>
    <xf numFmtId="0" fontId="22" fillId="8" borderId="0" xfId="14" applyFont="1"/>
    <xf numFmtId="0" fontId="6" fillId="0" borderId="0" xfId="3" applyFont="1" applyBorder="1" applyAlignment="1">
      <alignment horizontal="center"/>
    </xf>
    <xf numFmtId="164" fontId="0" fillId="0" borderId="0" xfId="1" applyNumberFormat="1" applyFont="1" applyBorder="1"/>
    <xf numFmtId="0" fontId="25" fillId="0" borderId="0" xfId="16"/>
    <xf numFmtId="0" fontId="26" fillId="0" borderId="0" xfId="0" applyFont="1"/>
    <xf numFmtId="0" fontId="12" fillId="0" borderId="16" xfId="7" applyBorder="1" applyAlignment="1">
      <alignment horizontal="left"/>
    </xf>
    <xf numFmtId="168" fontId="5" fillId="4" borderId="1" xfId="5" applyNumberFormat="1" applyFont="1" applyFill="1" applyBorder="1" applyAlignment="1">
      <alignment horizontal="left"/>
    </xf>
    <xf numFmtId="168" fontId="5" fillId="4" borderId="1" xfId="10" applyNumberFormat="1" applyBorder="1" applyAlignment="1">
      <alignment horizontal="center"/>
    </xf>
    <xf numFmtId="168" fontId="1" fillId="4" borderId="23" xfId="5" applyNumberFormat="1" applyFont="1" applyFill="1" applyBorder="1" applyAlignment="1">
      <alignment horizontal="center"/>
    </xf>
    <xf numFmtId="164" fontId="6" fillId="0" borderId="0" xfId="3" applyNumberFormat="1" applyFont="1" applyAlignment="1">
      <alignment horizontal="center"/>
    </xf>
    <xf numFmtId="164" fontId="6" fillId="0" borderId="0" xfId="1" applyNumberFormat="1" applyFont="1"/>
    <xf numFmtId="168" fontId="6" fillId="0" borderId="0" xfId="5" applyNumberFormat="1" applyFont="1"/>
    <xf numFmtId="1" fontId="6" fillId="0" borderId="0" xfId="3" applyNumberFormat="1" applyFont="1"/>
    <xf numFmtId="165" fontId="6" fillId="0" borderId="0" xfId="3" applyNumberFormat="1" applyFont="1"/>
    <xf numFmtId="0" fontId="14" fillId="10" borderId="1" xfId="12" applyNumberFormat="1" applyFill="1" applyBorder="1" applyAlignment="1">
      <alignment horizontal="center"/>
    </xf>
    <xf numFmtId="0" fontId="14" fillId="10" borderId="1" xfId="9" applyNumberFormat="1" applyFill="1" applyBorder="1" applyAlignment="1">
      <alignment horizontal="center"/>
    </xf>
    <xf numFmtId="0" fontId="14" fillId="10" borderId="1" xfId="11" applyNumberFormat="1" applyFont="1" applyFill="1" applyBorder="1" applyAlignment="1">
      <alignment horizontal="center"/>
    </xf>
    <xf numFmtId="0" fontId="0" fillId="11" borderId="0" xfId="0" applyFill="1"/>
    <xf numFmtId="3" fontId="0" fillId="0" borderId="0" xfId="0" applyNumberFormat="1"/>
    <xf numFmtId="0" fontId="5" fillId="5" borderId="24" xfId="11" applyNumberFormat="1" applyBorder="1" applyAlignment="1">
      <alignment horizontal="center"/>
    </xf>
    <xf numFmtId="3" fontId="0" fillId="0" borderId="0" xfId="0" applyNumberFormat="1" applyBorder="1"/>
    <xf numFmtId="0" fontId="26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6" fillId="11" borderId="0" xfId="0" applyFont="1" applyFill="1" applyBorder="1"/>
    <xf numFmtId="10" fontId="0" fillId="11" borderId="0" xfId="0" applyNumberFormat="1" applyFill="1"/>
    <xf numFmtId="0" fontId="28" fillId="12" borderId="0" xfId="17"/>
    <xf numFmtId="0" fontId="28" fillId="12" borderId="0" xfId="17" applyBorder="1"/>
    <xf numFmtId="0" fontId="28" fillId="12" borderId="8" xfId="17" applyBorder="1"/>
    <xf numFmtId="0" fontId="28" fillId="12" borderId="0" xfId="17" applyBorder="1" applyAlignment="1">
      <alignment horizontal="center"/>
    </xf>
    <xf numFmtId="0" fontId="31" fillId="2" borderId="31" xfId="19" applyFill="1" applyAlignment="1">
      <alignment horizontal="center"/>
    </xf>
    <xf numFmtId="49" fontId="28" fillId="12" borderId="8" xfId="17" applyNumberFormat="1" applyBorder="1" applyAlignment="1">
      <alignment horizontal="center"/>
    </xf>
    <xf numFmtId="0" fontId="31" fillId="0" borderId="8" xfId="19" applyBorder="1"/>
    <xf numFmtId="0" fontId="28" fillId="12" borderId="0" xfId="17" quotePrefix="1" applyBorder="1" applyAlignment="1">
      <alignment horizontal="center"/>
    </xf>
    <xf numFmtId="0" fontId="29" fillId="0" borderId="9" xfId="18" quotePrefix="1" applyBorder="1" applyAlignment="1">
      <alignment horizontal="left"/>
    </xf>
    <xf numFmtId="0" fontId="29" fillId="0" borderId="10" xfId="18" applyBorder="1"/>
    <xf numFmtId="0" fontId="29" fillId="0" borderId="11" xfId="18" applyBorder="1"/>
    <xf numFmtId="0" fontId="28" fillId="12" borderId="25" xfId="17" applyBorder="1" applyAlignment="1">
      <alignment horizontal="center"/>
    </xf>
    <xf numFmtId="0" fontId="28" fillId="12" borderId="25" xfId="17" applyBorder="1"/>
    <xf numFmtId="0" fontId="28" fillId="12" borderId="32" xfId="17" applyBorder="1" applyAlignment="1">
      <alignment horizontal="center"/>
    </xf>
    <xf numFmtId="0" fontId="32" fillId="0" borderId="8" xfId="19" applyFont="1" applyBorder="1" applyAlignment="1">
      <alignment horizontal="right"/>
    </xf>
    <xf numFmtId="0" fontId="15" fillId="0" borderId="13" xfId="19" applyFont="1" applyBorder="1" applyAlignment="1">
      <alignment horizontal="left"/>
    </xf>
    <xf numFmtId="0" fontId="33" fillId="0" borderId="0" xfId="3" applyFont="1"/>
    <xf numFmtId="0" fontId="34" fillId="6" borderId="2" xfId="20" applyNumberFormat="1" applyBorder="1" applyAlignment="1">
      <alignment horizontal="center"/>
    </xf>
    <xf numFmtId="164" fontId="35" fillId="4" borderId="0" xfId="21" applyNumberFormat="1" applyBorder="1" applyAlignment="1">
      <alignment horizontal="left"/>
    </xf>
    <xf numFmtId="3" fontId="35" fillId="4" borderId="0" xfId="21" applyNumberFormat="1" applyBorder="1"/>
    <xf numFmtId="3" fontId="28" fillId="12" borderId="0" xfId="17" applyNumberFormat="1" applyBorder="1"/>
    <xf numFmtId="164" fontId="35" fillId="4" borderId="0" xfId="21" applyNumberFormat="1" applyBorder="1" applyAlignment="1">
      <alignment horizontal="center"/>
    </xf>
    <xf numFmtId="39" fontId="35" fillId="4" borderId="0" xfId="21" applyNumberFormat="1" applyBorder="1" applyAlignment="1">
      <alignment horizontal="center"/>
    </xf>
    <xf numFmtId="39" fontId="28" fillId="12" borderId="0" xfId="17" applyNumberFormat="1" applyBorder="1" applyAlignment="1">
      <alignment horizontal="center"/>
    </xf>
    <xf numFmtId="0" fontId="34" fillId="6" borderId="2" xfId="20" applyBorder="1"/>
    <xf numFmtId="43" fontId="35" fillId="4" borderId="0" xfId="21" applyNumberFormat="1" applyBorder="1"/>
    <xf numFmtId="169" fontId="35" fillId="4" borderId="0" xfId="21" applyNumberFormat="1" applyBorder="1"/>
    <xf numFmtId="169" fontId="35" fillId="4" borderId="3" xfId="21" applyNumberFormat="1" applyBorder="1"/>
    <xf numFmtId="169" fontId="28" fillId="12" borderId="0" xfId="17" applyNumberFormat="1" applyBorder="1"/>
    <xf numFmtId="0" fontId="31" fillId="0" borderId="12" xfId="19" quotePrefix="1" applyBorder="1" applyAlignment="1">
      <alignment horizontal="left"/>
    </xf>
    <xf numFmtId="0" fontId="31" fillId="0" borderId="8" xfId="19" applyBorder="1" applyAlignment="1">
      <alignment horizontal="center"/>
    </xf>
    <xf numFmtId="0" fontId="31" fillId="0" borderId="13" xfId="19" applyBorder="1"/>
    <xf numFmtId="0" fontId="35" fillId="4" borderId="2" xfId="21" applyBorder="1" applyAlignment="1">
      <alignment horizontal="center"/>
    </xf>
    <xf numFmtId="0" fontId="35" fillId="4" borderId="0" xfId="21" applyBorder="1"/>
    <xf numFmtId="9" fontId="35" fillId="4" borderId="0" xfId="21" applyNumberFormat="1" applyBorder="1" applyAlignment="1">
      <alignment horizontal="center"/>
    </xf>
    <xf numFmtId="0" fontId="35" fillId="4" borderId="3" xfId="21" applyBorder="1"/>
    <xf numFmtId="0" fontId="29" fillId="0" borderId="14" xfId="18" applyBorder="1"/>
    <xf numFmtId="0" fontId="29" fillId="0" borderId="7" xfId="18" applyBorder="1"/>
    <xf numFmtId="0" fontId="29" fillId="0" borderId="7" xfId="18" applyBorder="1" applyAlignment="1">
      <alignment horizontal="center"/>
    </xf>
    <xf numFmtId="0" fontId="29" fillId="0" borderId="15" xfId="18" applyBorder="1"/>
    <xf numFmtId="0" fontId="15" fillId="0" borderId="8" xfId="19" applyFont="1" applyBorder="1" applyAlignment="1">
      <alignment horizontal="right"/>
    </xf>
    <xf numFmtId="0" fontId="33" fillId="0" borderId="0" xfId="3" quotePrefix="1" applyFont="1" applyAlignment="1">
      <alignment horizontal="left"/>
    </xf>
    <xf numFmtId="0" fontId="35" fillId="4" borderId="4" xfId="21" applyBorder="1" applyAlignment="1">
      <alignment horizontal="center"/>
    </xf>
    <xf numFmtId="0" fontId="35" fillId="4" borderId="5" xfId="21" applyBorder="1"/>
    <xf numFmtId="0" fontId="35" fillId="4" borderId="6" xfId="21" applyBorder="1"/>
    <xf numFmtId="0" fontId="32" fillId="0" borderId="13" xfId="19" applyFont="1" applyBorder="1" applyAlignment="1">
      <alignment horizontal="left"/>
    </xf>
    <xf numFmtId="0" fontId="36" fillId="0" borderId="8" xfId="19" applyFont="1" applyBorder="1" applyAlignment="1">
      <alignment horizontal="center"/>
    </xf>
    <xf numFmtId="0" fontId="36" fillId="0" borderId="13" xfId="19" applyFont="1" applyBorder="1"/>
    <xf numFmtId="0" fontId="37" fillId="0" borderId="0" xfId="22" applyAlignment="1">
      <alignment vertical="center"/>
    </xf>
    <xf numFmtId="49" fontId="29" fillId="0" borderId="27" xfId="18" quotePrefix="1" applyNumberFormat="1" applyFill="1" applyAlignment="1">
      <alignment horizontal="left"/>
    </xf>
    <xf numFmtId="164" fontId="29" fillId="0" borderId="27" xfId="18" applyNumberFormat="1" applyAlignment="1">
      <alignment horizontal="left"/>
    </xf>
    <xf numFmtId="49" fontId="35" fillId="4" borderId="0" xfId="21" applyNumberFormat="1" applyBorder="1" applyAlignment="1"/>
    <xf numFmtId="164" fontId="35" fillId="4" borderId="0" xfId="21" applyNumberFormat="1" applyAlignment="1"/>
    <xf numFmtId="164" fontId="6" fillId="0" borderId="0" xfId="23" applyNumberFormat="1" applyFont="1" applyAlignment="1">
      <alignment horizontal="left"/>
    </xf>
    <xf numFmtId="165" fontId="35" fillId="4" borderId="0" xfId="21" applyNumberFormat="1" applyAlignment="1"/>
    <xf numFmtId="165" fontId="16" fillId="0" borderId="0" xfId="22" applyNumberFormat="1" applyFont="1" applyAlignment="1">
      <alignment horizontal="left"/>
    </xf>
    <xf numFmtId="0" fontId="34" fillId="6" borderId="4" xfId="20" applyNumberFormat="1" applyBorder="1" applyAlignment="1">
      <alignment horizontal="center"/>
    </xf>
    <xf numFmtId="164" fontId="35" fillId="4" borderId="5" xfId="21" applyNumberFormat="1" applyBorder="1" applyAlignment="1">
      <alignment horizontal="left"/>
    </xf>
    <xf numFmtId="3" fontId="35" fillId="4" borderId="5" xfId="21" applyNumberFormat="1" applyBorder="1"/>
    <xf numFmtId="3" fontId="28" fillId="12" borderId="5" xfId="17" applyNumberFormat="1" applyBorder="1"/>
    <xf numFmtId="164" fontId="35" fillId="4" borderId="5" xfId="21" applyNumberFormat="1" applyBorder="1" applyAlignment="1">
      <alignment horizontal="center"/>
    </xf>
    <xf numFmtId="39" fontId="35" fillId="4" borderId="5" xfId="21" applyNumberFormat="1" applyBorder="1" applyAlignment="1">
      <alignment horizontal="center"/>
    </xf>
    <xf numFmtId="39" fontId="28" fillId="12" borderId="5" xfId="17" applyNumberFormat="1" applyBorder="1" applyAlignment="1">
      <alignment horizontal="center"/>
    </xf>
    <xf numFmtId="0" fontId="34" fillId="6" borderId="4" xfId="20" applyBorder="1"/>
    <xf numFmtId="43" fontId="35" fillId="4" borderId="5" xfId="21" applyNumberFormat="1" applyBorder="1"/>
    <xf numFmtId="0" fontId="28" fillId="12" borderId="5" xfId="17" applyBorder="1"/>
    <xf numFmtId="169" fontId="35" fillId="4" borderId="5" xfId="21" applyNumberFormat="1" applyBorder="1"/>
    <xf numFmtId="169" fontId="35" fillId="4" borderId="6" xfId="21" applyNumberFormat="1" applyBorder="1"/>
    <xf numFmtId="43" fontId="35" fillId="4" borderId="0" xfId="21" applyNumberFormat="1" applyAlignment="1"/>
    <xf numFmtId="43" fontId="6" fillId="0" borderId="0" xfId="23" applyNumberFormat="1" applyFont="1" applyAlignment="1">
      <alignment horizontal="left"/>
    </xf>
    <xf numFmtId="49" fontId="28" fillId="12" borderId="0" xfId="17" applyNumberFormat="1" applyBorder="1" applyAlignment="1"/>
    <xf numFmtId="0" fontId="28" fillId="12" borderId="0" xfId="17" applyAlignment="1">
      <alignment horizontal="center"/>
    </xf>
    <xf numFmtId="3" fontId="28" fillId="12" borderId="0" xfId="17" applyNumberFormat="1"/>
    <xf numFmtId="164" fontId="28" fillId="12" borderId="0" xfId="17" applyNumberFormat="1" applyAlignment="1">
      <alignment horizontal="center"/>
    </xf>
    <xf numFmtId="43" fontId="28" fillId="12" borderId="0" xfId="17" applyNumberFormat="1" applyAlignment="1">
      <alignment horizontal="center"/>
    </xf>
    <xf numFmtId="166" fontId="35" fillId="4" borderId="0" xfId="21" applyNumberFormat="1" applyAlignment="1"/>
    <xf numFmtId="166" fontId="6" fillId="0" borderId="0" xfId="23" applyNumberFormat="1" applyFont="1" applyAlignment="1"/>
    <xf numFmtId="0" fontId="38" fillId="0" borderId="0" xfId="24" applyFill="1"/>
    <xf numFmtId="49" fontId="6" fillId="0" borderId="26" xfId="24" quotePrefix="1" applyNumberFormat="1" applyFont="1" applyFill="1" applyBorder="1" applyAlignment="1">
      <alignment horizontal="left"/>
    </xf>
    <xf numFmtId="43" fontId="6" fillId="0" borderId="26" xfId="24" applyNumberFormat="1" applyFont="1" applyFill="1" applyBorder="1" applyAlignment="1">
      <alignment horizontal="center"/>
    </xf>
    <xf numFmtId="9" fontId="6" fillId="0" borderId="0" xfId="4" applyFont="1" applyFill="1"/>
    <xf numFmtId="3" fontId="6" fillId="0" borderId="0" xfId="24" applyNumberFormat="1" applyFont="1" applyFill="1"/>
    <xf numFmtId="164" fontId="6" fillId="0" borderId="0" xfId="24" applyNumberFormat="1" applyFont="1" applyFill="1" applyAlignment="1">
      <alignment horizontal="center"/>
    </xf>
    <xf numFmtId="43" fontId="6" fillId="0" borderId="0" xfId="24" applyNumberFormat="1" applyFont="1" applyFill="1" applyAlignment="1">
      <alignment horizontal="center"/>
    </xf>
    <xf numFmtId="0" fontId="6" fillId="0" borderId="0" xfId="24" applyFont="1" applyFill="1"/>
    <xf numFmtId="0" fontId="6" fillId="0" borderId="0" xfId="25" applyFont="1" applyAlignment="1">
      <alignment vertical="center"/>
    </xf>
    <xf numFmtId="0" fontId="26" fillId="0" borderId="0" xfId="3" applyFont="1" applyFill="1"/>
    <xf numFmtId="49" fontId="6" fillId="0" borderId="26" xfId="24" applyNumberFormat="1" applyFont="1" applyFill="1" applyBorder="1" applyAlignment="1"/>
    <xf numFmtId="0" fontId="6" fillId="0" borderId="26" xfId="24" applyFont="1" applyFill="1" applyBorder="1" applyAlignment="1">
      <alignment horizontal="center"/>
    </xf>
    <xf numFmtId="49" fontId="6" fillId="0" borderId="0" xfId="24" applyNumberFormat="1" applyFont="1" applyFill="1" applyBorder="1" applyAlignment="1"/>
    <xf numFmtId="0" fontId="6" fillId="0" borderId="0" xfId="24" applyFont="1" applyFill="1" applyAlignment="1">
      <alignment horizontal="center"/>
    </xf>
    <xf numFmtId="169" fontId="6" fillId="0" borderId="0" xfId="4" applyNumberFormat="1" applyFont="1" applyFill="1"/>
    <xf numFmtId="0" fontId="6" fillId="0" borderId="0" xfId="24" quotePrefix="1" applyFont="1" applyFill="1" applyAlignment="1">
      <alignment horizontal="center"/>
    </xf>
    <xf numFmtId="49" fontId="6" fillId="0" borderId="0" xfId="24" quotePrefix="1" applyNumberFormat="1" applyFont="1" applyFill="1" applyBorder="1" applyAlignment="1">
      <alignment horizontal="left"/>
    </xf>
    <xf numFmtId="0" fontId="6" fillId="0" borderId="33" xfId="24" quotePrefix="1" applyFont="1" applyFill="1" applyBorder="1" applyAlignment="1">
      <alignment horizontal="left"/>
    </xf>
    <xf numFmtId="0" fontId="6" fillId="0" borderId="34" xfId="24" applyFont="1" applyFill="1" applyBorder="1" applyAlignment="1"/>
    <xf numFmtId="0" fontId="6" fillId="0" borderId="35" xfId="24" applyFont="1" applyFill="1" applyBorder="1" applyAlignment="1"/>
    <xf numFmtId="0" fontId="6" fillId="0" borderId="2" xfId="24" applyFont="1" applyFill="1" applyBorder="1" applyAlignment="1"/>
    <xf numFmtId="0" fontId="6" fillId="0" borderId="0" xfId="24" applyFont="1" applyFill="1" applyBorder="1" applyAlignment="1"/>
    <xf numFmtId="0" fontId="0" fillId="0" borderId="3" xfId="24" applyFont="1" applyFill="1" applyBorder="1" applyAlignment="1">
      <alignment horizontal="center"/>
    </xf>
    <xf numFmtId="0" fontId="6" fillId="0" borderId="0" xfId="24" applyFont="1" applyFill="1" applyBorder="1" applyAlignment="1">
      <alignment horizontal="center"/>
    </xf>
    <xf numFmtId="0" fontId="6" fillId="0" borderId="3" xfId="24" applyFont="1" applyFill="1" applyBorder="1" applyAlignment="1">
      <alignment horizontal="center"/>
    </xf>
    <xf numFmtId="0" fontId="6" fillId="0" borderId="2" xfId="24" applyFont="1" applyFill="1" applyBorder="1" applyAlignment="1">
      <alignment horizontal="center"/>
    </xf>
    <xf numFmtId="49" fontId="6" fillId="0" borderId="0" xfId="24" applyNumberFormat="1" applyFont="1" applyFill="1" applyBorder="1" applyAlignment="1">
      <alignment horizontal="center"/>
    </xf>
    <xf numFmtId="3" fontId="6" fillId="0" borderId="0" xfId="24" applyNumberFormat="1" applyFont="1" applyFill="1" applyAlignment="1">
      <alignment horizontal="center"/>
    </xf>
    <xf numFmtId="0" fontId="6" fillId="0" borderId="2" xfId="24" applyNumberFormat="1" applyFont="1" applyFill="1" applyBorder="1" applyAlignment="1">
      <alignment horizontal="center"/>
    </xf>
    <xf numFmtId="3" fontId="6" fillId="0" borderId="0" xfId="24" applyNumberFormat="1" applyFont="1" applyFill="1" applyBorder="1" applyAlignment="1">
      <alignment horizontal="center"/>
    </xf>
    <xf numFmtId="3" fontId="6" fillId="0" borderId="3" xfId="24" applyNumberFormat="1" applyFont="1" applyFill="1" applyBorder="1" applyAlignment="1">
      <alignment horizontal="center"/>
    </xf>
    <xf numFmtId="171" fontId="6" fillId="0" borderId="0" xfId="24" applyNumberFormat="1" applyFont="1" applyFill="1"/>
    <xf numFmtId="172" fontId="6" fillId="0" borderId="0" xfId="24" applyNumberFormat="1" applyFont="1" applyFill="1" applyAlignment="1">
      <alignment horizontal="center"/>
    </xf>
    <xf numFmtId="173" fontId="6" fillId="0" borderId="0" xfId="24" applyNumberFormat="1" applyFont="1" applyFill="1" applyAlignment="1">
      <alignment horizontal="center"/>
    </xf>
    <xf numFmtId="0" fontId="6" fillId="0" borderId="0" xfId="24" applyNumberFormat="1" applyFont="1" applyFill="1" applyAlignment="1">
      <alignment horizontal="center"/>
    </xf>
    <xf numFmtId="174" fontId="6" fillId="0" borderId="0" xfId="24" applyNumberFormat="1" applyFont="1" applyFill="1" applyAlignment="1">
      <alignment horizontal="center"/>
    </xf>
    <xf numFmtId="0" fontId="6" fillId="0" borderId="4" xfId="24" applyNumberFormat="1" applyFont="1" applyFill="1" applyBorder="1" applyAlignment="1">
      <alignment horizontal="center"/>
    </xf>
    <xf numFmtId="3" fontId="6" fillId="0" borderId="5" xfId="24" applyNumberFormat="1" applyFont="1" applyFill="1" applyBorder="1" applyAlignment="1">
      <alignment horizontal="center"/>
    </xf>
    <xf numFmtId="3" fontId="6" fillId="0" borderId="6" xfId="24" applyNumberFormat="1" applyFont="1" applyFill="1" applyBorder="1" applyAlignment="1">
      <alignment horizontal="center"/>
    </xf>
    <xf numFmtId="172" fontId="6" fillId="0" borderId="0" xfId="24" applyNumberFormat="1" applyFont="1" applyFill="1"/>
    <xf numFmtId="0" fontId="6" fillId="0" borderId="0" xfId="24" quotePrefix="1" applyFont="1" applyFill="1" applyAlignment="1">
      <alignment horizontal="left"/>
    </xf>
    <xf numFmtId="9" fontId="6" fillId="0" borderId="0" xfId="24" applyNumberFormat="1" applyFont="1" applyFill="1" applyAlignment="1">
      <alignment horizontal="center"/>
    </xf>
    <xf numFmtId="175" fontId="6" fillId="0" borderId="0" xfId="24" applyNumberFormat="1" applyFont="1" applyFill="1"/>
    <xf numFmtId="172" fontId="6" fillId="0" borderId="0" xfId="24" applyNumberFormat="1" applyFont="1" applyFill="1" applyBorder="1" applyAlignment="1">
      <alignment horizontal="center"/>
    </xf>
    <xf numFmtId="176" fontId="6" fillId="0" borderId="0" xfId="24" applyNumberFormat="1" applyFont="1" applyFill="1"/>
    <xf numFmtId="3" fontId="6" fillId="0" borderId="0" xfId="3" applyNumberFormat="1" applyFont="1" applyAlignment="1">
      <alignment horizontal="center"/>
    </xf>
    <xf numFmtId="164" fontId="6" fillId="0" borderId="0" xfId="23" applyNumberFormat="1" applyFont="1" applyAlignment="1">
      <alignment horizontal="center"/>
    </xf>
    <xf numFmtId="0" fontId="26" fillId="0" borderId="0" xfId="44" applyNumberFormat="1" applyFont="1" applyBorder="1" applyAlignment="1">
      <alignment horizontal="center"/>
    </xf>
    <xf numFmtId="0" fontId="6" fillId="0" borderId="0" xfId="44" applyNumberFormat="1" applyBorder="1" applyAlignment="1"/>
    <xf numFmtId="177" fontId="26" fillId="0" borderId="0" xfId="44" applyFont="1" applyBorder="1" applyAlignment="1">
      <alignment horizontal="center" wrapText="1"/>
    </xf>
    <xf numFmtId="164" fontId="26" fillId="0" borderId="0" xfId="23" quotePrefix="1" applyNumberFormat="1" applyFont="1" applyAlignment="1">
      <alignment horizontal="center"/>
    </xf>
    <xf numFmtId="0" fontId="26" fillId="0" borderId="0" xfId="45" applyFont="1" applyAlignment="1">
      <alignment horizontal="center"/>
    </xf>
    <xf numFmtId="0" fontId="6" fillId="0" borderId="0" xfId="45"/>
    <xf numFmtId="177" fontId="6" fillId="0" borderId="0" xfId="44" applyBorder="1">
      <alignment horizontal="left" wrapText="1"/>
    </xf>
    <xf numFmtId="164" fontId="6" fillId="0" borderId="0" xfId="23" applyNumberFormat="1" applyFont="1"/>
    <xf numFmtId="0" fontId="6" fillId="0" borderId="0" xfId="44" applyNumberFormat="1" applyAlignment="1"/>
    <xf numFmtId="178" fontId="6" fillId="0" borderId="0" xfId="44" applyNumberFormat="1" applyAlignment="1">
      <alignment horizontal="center" wrapText="1"/>
    </xf>
    <xf numFmtId="178" fontId="6" fillId="0" borderId="0" xfId="45" applyNumberFormat="1"/>
    <xf numFmtId="172" fontId="6" fillId="0" borderId="0" xfId="23" applyNumberFormat="1" applyFont="1"/>
    <xf numFmtId="164" fontId="6" fillId="0" borderId="0" xfId="44" applyNumberFormat="1">
      <alignment horizontal="left" wrapText="1"/>
    </xf>
    <xf numFmtId="177" fontId="6" fillId="0" borderId="0" xfId="44">
      <alignment horizontal="left" wrapText="1"/>
    </xf>
    <xf numFmtId="0" fontId="0" fillId="0" borderId="0" xfId="45" applyFont="1"/>
    <xf numFmtId="0" fontId="35" fillId="4" borderId="0" xfId="21" applyNumberFormat="1" applyBorder="1" applyAlignment="1">
      <alignment horizontal="center"/>
    </xf>
    <xf numFmtId="9" fontId="6" fillId="4" borderId="0" xfId="21" applyNumberFormat="1" applyFont="1" applyBorder="1" applyAlignment="1">
      <alignment horizontal="center"/>
    </xf>
    <xf numFmtId="9" fontId="6" fillId="4" borderId="5" xfId="21" applyNumberFormat="1" applyFont="1" applyBorder="1" applyAlignment="1">
      <alignment horizontal="center"/>
    </xf>
    <xf numFmtId="49" fontId="11" fillId="2" borderId="7" xfId="6" applyNumberFormat="1" applyFill="1" applyAlignment="1">
      <alignment horizontal="center" wrapText="1"/>
    </xf>
    <xf numFmtId="0" fontId="14" fillId="3" borderId="0" xfId="9"/>
    <xf numFmtId="0" fontId="27" fillId="0" borderId="0" xfId="3" applyFont="1"/>
    <xf numFmtId="49" fontId="14" fillId="3" borderId="0" xfId="9" applyNumberFormat="1" applyBorder="1" applyAlignment="1">
      <alignment horizontal="center" wrapText="1"/>
    </xf>
    <xf numFmtId="0" fontId="14" fillId="3" borderId="0" xfId="9" applyAlignment="1">
      <alignment horizontal="center" wrapText="1"/>
    </xf>
    <xf numFmtId="0" fontId="12" fillId="0" borderId="16" xfId="7" applyBorder="1" applyAlignment="1">
      <alignment horizontal="right"/>
    </xf>
    <xf numFmtId="0" fontId="12" fillId="0" borderId="17" xfId="7" applyBorder="1" applyAlignment="1">
      <alignment horizontal="right"/>
    </xf>
    <xf numFmtId="0" fontId="30" fillId="3" borderId="0" xfId="18" applyFont="1" applyFill="1" applyBorder="1" applyAlignment="1">
      <alignment horizontal="center"/>
    </xf>
    <xf numFmtId="0" fontId="30" fillId="3" borderId="27" xfId="18" applyFont="1" applyFill="1" applyAlignment="1">
      <alignment horizontal="center"/>
    </xf>
    <xf numFmtId="49" fontId="29" fillId="2" borderId="28" xfId="18" quotePrefix="1" applyNumberFormat="1" applyFill="1" applyBorder="1" applyAlignment="1">
      <alignment horizontal="center" wrapText="1"/>
    </xf>
    <xf numFmtId="49" fontId="29" fillId="2" borderId="29" xfId="18" quotePrefix="1" applyNumberFormat="1" applyFill="1" applyBorder="1" applyAlignment="1">
      <alignment horizontal="center" wrapText="1"/>
    </xf>
    <xf numFmtId="49" fontId="29" fillId="2" borderId="30" xfId="18" quotePrefix="1" applyNumberFormat="1" applyFill="1" applyBorder="1" applyAlignment="1">
      <alignment horizontal="center" wrapText="1"/>
    </xf>
    <xf numFmtId="49" fontId="31" fillId="0" borderId="8" xfId="19" applyNumberFormat="1" applyFill="1" applyBorder="1" applyAlignment="1">
      <alignment horizontal="center"/>
    </xf>
    <xf numFmtId="0" fontId="31" fillId="0" borderId="8" xfId="19" applyBorder="1" applyAlignment="1">
      <alignment horizontal="center"/>
    </xf>
    <xf numFmtId="0" fontId="31" fillId="0" borderId="8" xfId="19" quotePrefix="1" applyBorder="1" applyAlignment="1">
      <alignment horizontal="center"/>
    </xf>
    <xf numFmtId="0" fontId="31" fillId="0" borderId="13" xfId="19" quotePrefix="1" applyBorder="1" applyAlignment="1">
      <alignment horizontal="center"/>
    </xf>
    <xf numFmtId="0" fontId="31" fillId="0" borderId="16" xfId="19" quotePrefix="1" applyBorder="1" applyAlignment="1">
      <alignment horizontal="right"/>
    </xf>
    <xf numFmtId="0" fontId="31" fillId="0" borderId="17" xfId="19" applyBorder="1" applyAlignment="1">
      <alignment horizontal="right"/>
    </xf>
    <xf numFmtId="0" fontId="31" fillId="0" borderId="16" xfId="19" applyFont="1" applyBorder="1" applyAlignment="1">
      <alignment horizontal="right"/>
    </xf>
    <xf numFmtId="0" fontId="31" fillId="0" borderId="17" xfId="19" applyFont="1" applyBorder="1" applyAlignment="1">
      <alignment horizontal="right"/>
    </xf>
    <xf numFmtId="0" fontId="36" fillId="0" borderId="16" xfId="19" applyFont="1" applyBorder="1" applyAlignment="1">
      <alignment horizontal="right"/>
    </xf>
    <xf numFmtId="0" fontId="36" fillId="0" borderId="17" xfId="19" applyFont="1" applyBorder="1" applyAlignment="1">
      <alignment horizontal="right"/>
    </xf>
    <xf numFmtId="164" fontId="6" fillId="0" borderId="0" xfId="24" applyNumberFormat="1" applyFont="1" applyFill="1" applyAlignment="1">
      <alignment horizontal="center"/>
    </xf>
    <xf numFmtId="164" fontId="6" fillId="0" borderId="0" xfId="24" quotePrefix="1" applyNumberFormat="1" applyFont="1" applyFill="1" applyAlignment="1">
      <alignment horizontal="center"/>
    </xf>
    <xf numFmtId="43" fontId="6" fillId="0" borderId="0" xfId="24" applyNumberFormat="1" applyFont="1" applyFill="1" applyAlignment="1">
      <alignment horizontal="center"/>
    </xf>
    <xf numFmtId="0" fontId="0" fillId="0" borderId="0" xfId="0" applyAlignment="1">
      <alignment wrapText="1"/>
    </xf>
    <xf numFmtId="0" fontId="17" fillId="0" borderId="0" xfId="0" applyFont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2" xfId="0" applyBorder="1" applyAlignment="1">
      <alignment wrapText="1"/>
    </xf>
    <xf numFmtId="0" fontId="26" fillId="0" borderId="0" xfId="3" applyFont="1"/>
    <xf numFmtId="0" fontId="26" fillId="0" borderId="0" xfId="44" applyNumberFormat="1" applyFont="1" applyAlignment="1"/>
    <xf numFmtId="0" fontId="26" fillId="0" borderId="0" xfId="3" applyFont="1" applyAlignment="1">
      <alignment horizontal="left"/>
    </xf>
    <xf numFmtId="0" fontId="26" fillId="0" borderId="0" xfId="0" applyFont="1" applyAlignment="1">
      <alignment horizontal="left"/>
    </xf>
  </cellXfs>
  <cellStyles count="86">
    <cellStyle name="20% - Accent1" xfId="10" builtinId="30"/>
    <cellStyle name="20% - Accent1 2" xfId="21"/>
    <cellStyle name="20% - Accent3" xfId="13" builtinId="38"/>
    <cellStyle name="20% - Accent6" xfId="15" builtinId="50"/>
    <cellStyle name="40% - Accent1" xfId="11" builtinId="31"/>
    <cellStyle name="40% - Accent4" xfId="14" builtinId="43"/>
    <cellStyle name="60% - Accent1" xfId="12" builtinId="32"/>
    <cellStyle name="60% - Accent1 2" xfId="20"/>
    <cellStyle name="Accent1" xfId="9" builtinId="29"/>
    <cellStyle name="Accent1 - 20%" xfId="26"/>
    <cellStyle name="Accent1 - 40%" xfId="27"/>
    <cellStyle name="Accent1 - 60%" xfId="28"/>
    <cellStyle name="Accent1 2" xfId="17"/>
    <cellStyle name="Accent2 - 20%" xfId="29"/>
    <cellStyle name="Accent2 - 40%" xfId="30"/>
    <cellStyle name="Accent2 - 60%" xfId="31"/>
    <cellStyle name="Accent3 - 20%" xfId="32"/>
    <cellStyle name="Accent3 - 40%" xfId="33"/>
    <cellStyle name="Accent3 - 60%" xfId="34"/>
    <cellStyle name="Accent4 - 20%" xfId="35"/>
    <cellStyle name="Accent4 - 40%" xfId="36"/>
    <cellStyle name="Accent4 - 60%" xfId="37"/>
    <cellStyle name="Accent5 - 20%" xfId="38"/>
    <cellStyle name="Accent5 - 40%" xfId="39"/>
    <cellStyle name="Accent5 - 60%" xfId="40"/>
    <cellStyle name="Accent6 - 20%" xfId="41"/>
    <cellStyle name="Accent6 - 40%" xfId="42"/>
    <cellStyle name="Accent6 - 60%" xfId="43"/>
    <cellStyle name="Comma" xfId="1" builtinId="3"/>
    <cellStyle name="Comma 2" xfId="23"/>
    <cellStyle name="Currency" xfId="5" builtinId="4"/>
    <cellStyle name="Explanatory Text 2" xfId="24"/>
    <cellStyle name="Heading 1" xfId="6" builtinId="16"/>
    <cellStyle name="Heading 1 2" xfId="18"/>
    <cellStyle name="Heading 2" xfId="7" builtinId="17"/>
    <cellStyle name="Heading 2 2" xfId="19"/>
    <cellStyle name="Heading 4" xfId="8" builtinId="19"/>
    <cellStyle name="Heading 4 2" xfId="22"/>
    <cellStyle name="Hyperlink" xfId="16" builtinId="8"/>
    <cellStyle name="Normal" xfId="0" builtinId="0"/>
    <cellStyle name="Normal 2" xfId="25"/>
    <cellStyle name="Normal_Copy of figure51_data" xfId="2"/>
    <cellStyle name="Normal_Copy of PHEV - Strategy session 090711 (2)" xfId="3"/>
    <cellStyle name="Normal_NEPACT_rate_case" xfId="44"/>
    <cellStyle name="Normal_Obama Diffusion and kW - kWH Model - Updated" xfId="45"/>
    <cellStyle name="Percent" xfId="4" builtinId="5"/>
    <cellStyle name="SAPBEXaggData" xfId="46"/>
    <cellStyle name="SAPBEXaggDataEmph" xfId="47"/>
    <cellStyle name="SAPBEXaggItem" xfId="48"/>
    <cellStyle name="SAPBEXaggItemX" xfId="49"/>
    <cellStyle name="SAPBEXchaText" xfId="50"/>
    <cellStyle name="SAPBEXexcBad7" xfId="51"/>
    <cellStyle name="SAPBEXexcBad8" xfId="52"/>
    <cellStyle name="SAPBEXexcBad9" xfId="53"/>
    <cellStyle name="SAPBEXexcCritical4" xfId="54"/>
    <cellStyle name="SAPBEXexcCritical5" xfId="55"/>
    <cellStyle name="SAPBEXexcCritical6" xfId="56"/>
    <cellStyle name="SAPBEXexcGood1" xfId="57"/>
    <cellStyle name="SAPBEXexcGood2" xfId="58"/>
    <cellStyle name="SAPBEXexcGood3" xfId="59"/>
    <cellStyle name="SAPBEXfilterDrill" xfId="60"/>
    <cellStyle name="SAPBEXfilterItem" xfId="61"/>
    <cellStyle name="SAPBEXfilterText" xfId="62"/>
    <cellStyle name="SAPBEXformats" xfId="63"/>
    <cellStyle name="SAPBEXheaderItem" xfId="64"/>
    <cellStyle name="SAPBEXheaderText" xfId="65"/>
    <cellStyle name="SAPBEXHLevel0" xfId="66"/>
    <cellStyle name="SAPBEXHLevel0X" xfId="67"/>
    <cellStyle name="SAPBEXHLevel1" xfId="68"/>
    <cellStyle name="SAPBEXHLevel1X" xfId="69"/>
    <cellStyle name="SAPBEXHLevel2" xfId="70"/>
    <cellStyle name="SAPBEXHLevel2X" xfId="71"/>
    <cellStyle name="SAPBEXHLevel3" xfId="72"/>
    <cellStyle name="SAPBEXHLevel3X" xfId="73"/>
    <cellStyle name="SAPBEXinputData" xfId="74"/>
    <cellStyle name="SAPBEXresData" xfId="75"/>
    <cellStyle name="SAPBEXresDataEmph" xfId="76"/>
    <cellStyle name="SAPBEXresItem" xfId="77"/>
    <cellStyle name="SAPBEXresItemX" xfId="78"/>
    <cellStyle name="SAPBEXstdData" xfId="79"/>
    <cellStyle name="SAPBEXstdDataEmph" xfId="80"/>
    <cellStyle name="SAPBEXstdItem" xfId="81"/>
    <cellStyle name="SAPBEXstdItemX" xfId="82"/>
    <cellStyle name="SAPBEXtitle" xfId="83"/>
    <cellStyle name="SAPBEXundefined" xfId="84"/>
    <cellStyle name="Sheet Title" xfId="85"/>
  </cellStyles>
  <dxfs count="0"/>
  <tableStyles count="0" defaultTableStyle="TableStyleMedium2" defaultPivotStyle="PivotStyleLight16"/>
  <colors>
    <mruColors>
      <color rgb="FFE725D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EV Forecast - LDV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FORECAST!$M$6</c:f>
              <c:strCache>
                <c:ptCount val="1"/>
                <c:pt idx="0">
                  <c:v>FL Cumulative</c:v>
                </c:pt>
              </c:strCache>
            </c:strRef>
          </c:tx>
          <c:spPr>
            <a:ln>
              <a:solidFill>
                <a:srgbClr val="92D05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val>
            <c:numRef>
              <c:f>FORECAST!$M$7:$M$26</c:f>
              <c:numCache>
                <c:formatCode>_(* #,##0_);_(* \(#,##0\);_(* "-"??_);_(@_)</c:formatCode>
                <c:ptCount val="20"/>
                <c:pt idx="0">
                  <c:v>562</c:v>
                </c:pt>
                <c:pt idx="1">
                  <c:v>2539</c:v>
                </c:pt>
                <c:pt idx="2">
                  <c:v>6377</c:v>
                </c:pt>
                <c:pt idx="3">
                  <c:v>10068</c:v>
                </c:pt>
                <c:pt idx="4">
                  <c:v>14895.431999999999</c:v>
                </c:pt>
                <c:pt idx="5">
                  <c:v>22023.431999999997</c:v>
                </c:pt>
                <c:pt idx="6">
                  <c:v>33707.195999999996</c:v>
                </c:pt>
                <c:pt idx="7">
                  <c:v>58402.439999999995</c:v>
                </c:pt>
                <c:pt idx="8">
                  <c:v>87603.659999999989</c:v>
                </c:pt>
                <c:pt idx="9">
                  <c:v>118264.94099999999</c:v>
                </c:pt>
                <c:pt idx="10">
                  <c:v>153744.42329999999</c:v>
                </c:pt>
                <c:pt idx="11">
                  <c:v>192180.52912499997</c:v>
                </c:pt>
                <c:pt idx="12">
                  <c:v>238303.85611499997</c:v>
                </c:pt>
                <c:pt idx="13">
                  <c:v>297879.82014375</c:v>
                </c:pt>
                <c:pt idx="14">
                  <c:v>357455.78417249996</c:v>
                </c:pt>
                <c:pt idx="15">
                  <c:v>428946.94100699993</c:v>
                </c:pt>
                <c:pt idx="16">
                  <c:v>514736.32920839993</c:v>
                </c:pt>
                <c:pt idx="17">
                  <c:v>617683.59505007998</c:v>
                </c:pt>
                <c:pt idx="18">
                  <c:v>741220.31406009593</c:v>
                </c:pt>
                <c:pt idx="19">
                  <c:v>889464.37687211519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FORECAST!$O$6</c:f>
              <c:strCache>
                <c:ptCount val="1"/>
                <c:pt idx="0">
                  <c:v>FPL Cumulative</c:v>
                </c:pt>
              </c:strCache>
            </c:strRef>
          </c:tx>
          <c:spPr>
            <a:ln>
              <a:solidFill>
                <a:srgbClr val="0070C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val>
            <c:numRef>
              <c:f>FORECAST!$O$7:$O$26</c:f>
              <c:numCache>
                <c:formatCode>_(* #,##0_);_(* \(#,##0\);_(* "-"??_);_(@_)</c:formatCode>
                <c:ptCount val="20"/>
                <c:pt idx="0">
                  <c:v>259</c:v>
                </c:pt>
                <c:pt idx="1">
                  <c:v>1314</c:v>
                </c:pt>
                <c:pt idx="2">
                  <c:v>4586</c:v>
                </c:pt>
                <c:pt idx="3">
                  <c:v>7460</c:v>
                </c:pt>
                <c:pt idx="4">
                  <c:v>10426.802399999999</c:v>
                </c:pt>
                <c:pt idx="5">
                  <c:v>15416.402399999997</c:v>
                </c:pt>
                <c:pt idx="6">
                  <c:v>23595.037199999995</c:v>
                </c:pt>
                <c:pt idx="7">
                  <c:v>40881.707999999991</c:v>
                </c:pt>
                <c:pt idx="8">
                  <c:v>61322.561999999991</c:v>
                </c:pt>
                <c:pt idx="9">
                  <c:v>82785.458699999988</c:v>
                </c:pt>
                <c:pt idx="10">
                  <c:v>107621.09630999999</c:v>
                </c:pt>
                <c:pt idx="11">
                  <c:v>134526.37038749998</c:v>
                </c:pt>
                <c:pt idx="12">
                  <c:v>166812.69928049998</c:v>
                </c:pt>
                <c:pt idx="13">
                  <c:v>208515.87410062499</c:v>
                </c:pt>
                <c:pt idx="14">
                  <c:v>250219.04892074995</c:v>
                </c:pt>
                <c:pt idx="15">
                  <c:v>300262.8587048999</c:v>
                </c:pt>
                <c:pt idx="16">
                  <c:v>360315.43044587993</c:v>
                </c:pt>
                <c:pt idx="17">
                  <c:v>432378.51653505594</c:v>
                </c:pt>
                <c:pt idx="18">
                  <c:v>518854.2198420671</c:v>
                </c:pt>
                <c:pt idx="19">
                  <c:v>622625.06381048064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619712"/>
        <c:axId val="333291520"/>
      </c:lineChart>
      <c:lineChart>
        <c:grouping val="standard"/>
        <c:varyColors val="0"/>
        <c:ser>
          <c:idx val="0"/>
          <c:order val="0"/>
          <c:tx>
            <c:strRef>
              <c:f>FORECAST!$K$6</c:f>
              <c:strCache>
                <c:ptCount val="1"/>
                <c:pt idx="0">
                  <c:v>US Cumulative</c:v>
                </c:pt>
              </c:strCache>
            </c:strRef>
          </c:tx>
          <c:spPr>
            <a:ln>
              <a:solidFill>
                <a:schemeClr val="accent2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FORECAST!$J$7:$J$26</c:f>
              <c:strCache>
                <c:ptCount val="20"/>
                <c:pt idx="0">
                  <c:v>2011*</c:v>
                </c:pt>
                <c:pt idx="1">
                  <c:v>2012*</c:v>
                </c:pt>
                <c:pt idx="2">
                  <c:v>2013*</c:v>
                </c:pt>
                <c:pt idx="3">
                  <c:v>2014*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</c:strCache>
            </c:strRef>
          </c:cat>
          <c:val>
            <c:numRef>
              <c:f>FORECAST!$K$7:$K$26</c:f>
              <c:numCache>
                <c:formatCode>_(* #,##0_);_(* \(#,##0\);_(* "-"??_);_(@_)</c:formatCode>
                <c:ptCount val="20"/>
                <c:pt idx="0">
                  <c:v>23974</c:v>
                </c:pt>
                <c:pt idx="1">
                  <c:v>78350</c:v>
                </c:pt>
                <c:pt idx="2">
                  <c:v>172503</c:v>
                </c:pt>
                <c:pt idx="3">
                  <c:v>288057</c:v>
                </c:pt>
                <c:pt idx="4">
                  <c:v>413762</c:v>
                </c:pt>
                <c:pt idx="5">
                  <c:v>611762</c:v>
                </c:pt>
                <c:pt idx="6">
                  <c:v>936311</c:v>
                </c:pt>
                <c:pt idx="7">
                  <c:v>1622290</c:v>
                </c:pt>
                <c:pt idx="8">
                  <c:v>2433435</c:v>
                </c:pt>
                <c:pt idx="9">
                  <c:v>3285137.25</c:v>
                </c:pt>
                <c:pt idx="10">
                  <c:v>4270678.4249999998</c:v>
                </c:pt>
                <c:pt idx="11">
                  <c:v>5338348.03125</c:v>
                </c:pt>
                <c:pt idx="12">
                  <c:v>6619551.5587499999</c:v>
                </c:pt>
                <c:pt idx="13">
                  <c:v>8274439.4484374998</c:v>
                </c:pt>
                <c:pt idx="14">
                  <c:v>9929327.3381249998</c:v>
                </c:pt>
                <c:pt idx="15">
                  <c:v>11915192.805749999</c:v>
                </c:pt>
                <c:pt idx="16">
                  <c:v>14298231.366899999</c:v>
                </c:pt>
                <c:pt idx="17">
                  <c:v>17157877.640280001</c:v>
                </c:pt>
                <c:pt idx="18">
                  <c:v>20589453.168336</c:v>
                </c:pt>
                <c:pt idx="19">
                  <c:v>24707343.802003201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303168"/>
        <c:axId val="333299712"/>
      </c:lineChart>
      <c:catAx>
        <c:axId val="32961971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one"/>
        <c:crossAx val="333291520"/>
        <c:crosses val="autoZero"/>
        <c:auto val="1"/>
        <c:lblAlgn val="ctr"/>
        <c:lblOffset val="100"/>
        <c:noMultiLvlLbl val="0"/>
      </c:catAx>
      <c:valAx>
        <c:axId val="333291520"/>
        <c:scaling>
          <c:orientation val="minMax"/>
          <c:max val="3600000"/>
          <c:min val="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329619712"/>
        <c:crosses val="autoZero"/>
        <c:crossBetween val="midCat"/>
        <c:majorUnit val="400000"/>
      </c:valAx>
      <c:valAx>
        <c:axId val="333299712"/>
        <c:scaling>
          <c:orientation val="minMax"/>
          <c:max val="36000000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crossAx val="333303168"/>
        <c:crosses val="max"/>
        <c:crossBetween val="between"/>
        <c:majorUnit val="4000000"/>
      </c:valAx>
      <c:catAx>
        <c:axId val="33330316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crossAx val="333299712"/>
        <c:crosses val="max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EV Forecast - Trucks and Busses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FORECAST!$M$6</c:f>
              <c:strCache>
                <c:ptCount val="1"/>
                <c:pt idx="0">
                  <c:v>FL Cumulative</c:v>
                </c:pt>
              </c:strCache>
            </c:strRef>
          </c:tx>
          <c:spPr>
            <a:ln>
              <a:solidFill>
                <a:srgbClr val="92D05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val>
            <c:numRef>
              <c:f>FORECAST!$Z$7:$Z$26</c:f>
              <c:numCache>
                <c:formatCode>_(* #,##0_);_(* \(#,##0\);_(*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34.294707918123166</c:v>
                </c:pt>
                <c:pt idx="3">
                  <c:v>55.783542840479484</c:v>
                </c:pt>
                <c:pt idx="4">
                  <c:v>77.968799999999987</c:v>
                </c:pt>
                <c:pt idx="5">
                  <c:v>115.26479999999998</c:v>
                </c:pt>
                <c:pt idx="6">
                  <c:v>176.39999999999995</c:v>
                </c:pt>
                <c:pt idx="7">
                  <c:v>305.62559999999991</c:v>
                </c:pt>
                <c:pt idx="8">
                  <c:v>458.43839999999994</c:v>
                </c:pt>
                <c:pt idx="9">
                  <c:v>618.91199999999992</c:v>
                </c:pt>
                <c:pt idx="10">
                  <c:v>804.5856</c:v>
                </c:pt>
                <c:pt idx="11">
                  <c:v>1005.7319999999999</c:v>
                </c:pt>
                <c:pt idx="12">
                  <c:v>1247.0975999999998</c:v>
                </c:pt>
                <c:pt idx="13">
                  <c:v>1558.8720000000001</c:v>
                </c:pt>
                <c:pt idx="14">
                  <c:v>1870.6463999999999</c:v>
                </c:pt>
                <c:pt idx="15">
                  <c:v>2244.7655999999993</c:v>
                </c:pt>
                <c:pt idx="16">
                  <c:v>2693.7287999999999</c:v>
                </c:pt>
                <c:pt idx="17">
                  <c:v>3232.4543999999996</c:v>
                </c:pt>
                <c:pt idx="18">
                  <c:v>3878.9351999999994</c:v>
                </c:pt>
                <c:pt idx="19">
                  <c:v>4654.7424000000001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FORECAST!$O$6</c:f>
              <c:strCache>
                <c:ptCount val="1"/>
                <c:pt idx="0">
                  <c:v>FPL Cumulative</c:v>
                </c:pt>
              </c:strCache>
            </c:strRef>
          </c:tx>
          <c:spPr>
            <a:ln>
              <a:solidFill>
                <a:srgbClr val="0070C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val>
            <c:numRef>
              <c:f>FORECAST!$AB$7:$AB$26</c:f>
              <c:numCache>
                <c:formatCode>_(* #,##0_);_(* \(#,##0\);_(*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17</c:v>
                </c:pt>
                <c:pt idx="3">
                  <c:v>28</c:v>
                </c:pt>
                <c:pt idx="4">
                  <c:v>39</c:v>
                </c:pt>
                <c:pt idx="5">
                  <c:v>58</c:v>
                </c:pt>
                <c:pt idx="6">
                  <c:v>88</c:v>
                </c:pt>
                <c:pt idx="7">
                  <c:v>153</c:v>
                </c:pt>
                <c:pt idx="8">
                  <c:v>229</c:v>
                </c:pt>
                <c:pt idx="9">
                  <c:v>309</c:v>
                </c:pt>
                <c:pt idx="10">
                  <c:v>402</c:v>
                </c:pt>
                <c:pt idx="11">
                  <c:v>503</c:v>
                </c:pt>
                <c:pt idx="12">
                  <c:v>624</c:v>
                </c:pt>
                <c:pt idx="13">
                  <c:v>779</c:v>
                </c:pt>
                <c:pt idx="14">
                  <c:v>935</c:v>
                </c:pt>
                <c:pt idx="15">
                  <c:v>1122</c:v>
                </c:pt>
                <c:pt idx="16">
                  <c:v>1347</c:v>
                </c:pt>
                <c:pt idx="17">
                  <c:v>1616</c:v>
                </c:pt>
                <c:pt idx="18">
                  <c:v>1939</c:v>
                </c:pt>
                <c:pt idx="19">
                  <c:v>2327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487552"/>
        <c:axId val="334489856"/>
      </c:lineChart>
      <c:lineChart>
        <c:grouping val="standard"/>
        <c:varyColors val="0"/>
        <c:ser>
          <c:idx val="0"/>
          <c:order val="0"/>
          <c:tx>
            <c:strRef>
              <c:f>FORECAST!$K$6</c:f>
              <c:strCache>
                <c:ptCount val="1"/>
                <c:pt idx="0">
                  <c:v>US Cumulative</c:v>
                </c:pt>
              </c:strCache>
            </c:strRef>
          </c:tx>
          <c:spPr>
            <a:ln>
              <a:solidFill>
                <a:schemeClr val="accent2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FORECAST!$J$7:$J$26</c:f>
              <c:strCache>
                <c:ptCount val="20"/>
                <c:pt idx="0">
                  <c:v>2011*</c:v>
                </c:pt>
                <c:pt idx="1">
                  <c:v>2012*</c:v>
                </c:pt>
                <c:pt idx="2">
                  <c:v>2013*</c:v>
                </c:pt>
                <c:pt idx="3">
                  <c:v>2014*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</c:strCache>
            </c:strRef>
          </c:cat>
          <c:val>
            <c:numRef>
              <c:f>FORECAST!$X$7:$X$26</c:f>
              <c:numCache>
                <c:formatCode>_(* #,##0_);_(* \(#,##0\);_(* "-"??_);_(@_)</c:formatCode>
                <c:ptCount val="20"/>
                <c:pt idx="2">
                  <c:v>645</c:v>
                </c:pt>
                <c:pt idx="3">
                  <c:v>1077</c:v>
                </c:pt>
                <c:pt idx="4">
                  <c:v>1547</c:v>
                </c:pt>
                <c:pt idx="5">
                  <c:v>2287</c:v>
                </c:pt>
                <c:pt idx="6">
                  <c:v>3500</c:v>
                </c:pt>
                <c:pt idx="7">
                  <c:v>6064</c:v>
                </c:pt>
                <c:pt idx="8">
                  <c:v>9096</c:v>
                </c:pt>
                <c:pt idx="9">
                  <c:v>12280</c:v>
                </c:pt>
                <c:pt idx="10">
                  <c:v>15964</c:v>
                </c:pt>
                <c:pt idx="11">
                  <c:v>19955</c:v>
                </c:pt>
                <c:pt idx="12">
                  <c:v>24744</c:v>
                </c:pt>
                <c:pt idx="13">
                  <c:v>30930</c:v>
                </c:pt>
                <c:pt idx="14">
                  <c:v>37116</c:v>
                </c:pt>
                <c:pt idx="15">
                  <c:v>44539</c:v>
                </c:pt>
                <c:pt idx="16">
                  <c:v>53447</c:v>
                </c:pt>
                <c:pt idx="17">
                  <c:v>64136</c:v>
                </c:pt>
                <c:pt idx="18">
                  <c:v>76963</c:v>
                </c:pt>
                <c:pt idx="19">
                  <c:v>92356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222080"/>
        <c:axId val="336220544"/>
      </c:lineChart>
      <c:catAx>
        <c:axId val="33448755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one"/>
        <c:crossAx val="334489856"/>
        <c:crosses val="autoZero"/>
        <c:auto val="1"/>
        <c:lblAlgn val="ctr"/>
        <c:lblOffset val="100"/>
        <c:noMultiLvlLbl val="0"/>
      </c:catAx>
      <c:valAx>
        <c:axId val="334489856"/>
        <c:scaling>
          <c:orientation val="minMax"/>
          <c:max val="12000"/>
          <c:min val="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334487552"/>
        <c:crosses val="autoZero"/>
        <c:crossBetween val="midCat"/>
      </c:valAx>
      <c:valAx>
        <c:axId val="336220544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crossAx val="336222080"/>
        <c:crosses val="max"/>
        <c:crossBetween val="between"/>
      </c:valAx>
      <c:catAx>
        <c:axId val="336222080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crossAx val="336220544"/>
        <c:crosses val="max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88900</xdr:rowOff>
    </xdr:from>
    <xdr:to>
      <xdr:col>12</xdr:col>
      <xdr:colOff>762000</xdr:colOff>
      <xdr:row>74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44</xdr:row>
      <xdr:rowOff>0</xdr:rowOff>
    </xdr:from>
    <xdr:to>
      <xdr:col>25</xdr:col>
      <xdr:colOff>508000</xdr:colOff>
      <xdr:row>74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3</xdr:row>
          <xdr:rowOff>0</xdr:rowOff>
        </xdr:from>
        <xdr:to>
          <xdr:col>9</xdr:col>
          <xdr:colOff>426720</xdr:colOff>
          <xdr:row>44</xdr:row>
          <xdr:rowOff>22860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426720</xdr:colOff>
          <xdr:row>3</xdr:row>
          <xdr:rowOff>60960</xdr:rowOff>
        </xdr:from>
        <xdr:to>
          <xdr:col>11</xdr:col>
          <xdr:colOff>228600</xdr:colOff>
          <xdr:row>23</xdr:row>
          <xdr:rowOff>68580</xdr:rowOff>
        </xdr:to>
        <xdr:sp macro="" textlink="">
          <xdr:nvSpPr>
            <xdr:cNvPr id="15363" name="Object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7" Type="http://schemas.openxmlformats.org/officeDocument/2006/relationships/image" Target="../media/image1.emf"/><Relationship Id="rId2" Type="http://schemas.openxmlformats.org/officeDocument/2006/relationships/hyperlink" Target="http://cafe.nexteraenergy.com/sharepoint/cs/phev/EV%20Sales,%20Forecasts,%20and%20Distribution/EV%20Forecast/2013%20Forecast/2013%20MED%20HEAVY%20ELECTRIC%20TRUCK%20Forecast%20documentation/Truck%20Forecast%20data.xlsx" TargetMode="External"/><Relationship Id="rId1" Type="http://schemas.openxmlformats.org/officeDocument/2006/relationships/hyperlink" Target="http://cafe.nexteraenergy.com/sharepoint/cs/phev/EV%20Sales,%20Forecasts,%20and%20Distribution/EV%20Forecast/2013%20Forecast/2013%20MED%20HEAVY%20ELECTRIC%20TRUCK%20Forecast%20documentation/Truck%20Forecast%20notes.docx" TargetMode="External"/><Relationship Id="rId6" Type="http://schemas.openxmlformats.org/officeDocument/2006/relationships/oleObject" Target="../embeddings/Microsoft_Word_97_-_2003_Document1.doc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2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67"/>
  <sheetViews>
    <sheetView tabSelected="1" workbookViewId="0">
      <pane xSplit="3" ySplit="5" topLeftCell="D6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5.88671875" defaultRowHeight="13.2" x14ac:dyDescent="0.25"/>
  <cols>
    <col min="1" max="1" width="11.5546875" style="276" customWidth="1"/>
    <col min="2" max="2" width="5.88671875" style="276" customWidth="1"/>
    <col min="3" max="3" width="9.88671875" style="281" customWidth="1"/>
    <col min="4" max="4" width="10.33203125" style="281" customWidth="1"/>
    <col min="5" max="5" width="11.44140625" style="275" bestFit="1" customWidth="1"/>
    <col min="6" max="6" width="13.5546875" style="273" bestFit="1" customWidth="1"/>
    <col min="7" max="7" width="5.88671875" style="273" customWidth="1"/>
    <col min="8" max="8" width="13.5546875" style="273" customWidth="1"/>
    <col min="9" max="256" width="5.88671875" style="273"/>
    <col min="257" max="258" width="5.88671875" style="273" customWidth="1"/>
    <col min="259" max="259" width="9.88671875" style="273" customWidth="1"/>
    <col min="260" max="260" width="10.33203125" style="273" customWidth="1"/>
    <col min="261" max="261" width="8.33203125" style="273" customWidth="1"/>
    <col min="262" max="262" width="10.109375" style="273" customWidth="1"/>
    <col min="263" max="263" width="5.88671875" style="273" customWidth="1"/>
    <col min="264" max="264" width="13.5546875" style="273" customWidth="1"/>
    <col min="265" max="512" width="5.88671875" style="273"/>
    <col min="513" max="514" width="5.88671875" style="273" customWidth="1"/>
    <col min="515" max="515" width="9.88671875" style="273" customWidth="1"/>
    <col min="516" max="516" width="10.33203125" style="273" customWidth="1"/>
    <col min="517" max="517" width="8.33203125" style="273" customWidth="1"/>
    <col min="518" max="518" width="10.109375" style="273" customWidth="1"/>
    <col min="519" max="519" width="5.88671875" style="273" customWidth="1"/>
    <col min="520" max="520" width="13.5546875" style="273" customWidth="1"/>
    <col min="521" max="768" width="5.88671875" style="273"/>
    <col min="769" max="770" width="5.88671875" style="273" customWidth="1"/>
    <col min="771" max="771" width="9.88671875" style="273" customWidth="1"/>
    <col min="772" max="772" width="10.33203125" style="273" customWidth="1"/>
    <col min="773" max="773" width="8.33203125" style="273" customWidth="1"/>
    <col min="774" max="774" width="10.109375" style="273" customWidth="1"/>
    <col min="775" max="775" width="5.88671875" style="273" customWidth="1"/>
    <col min="776" max="776" width="13.5546875" style="273" customWidth="1"/>
    <col min="777" max="1024" width="5.88671875" style="273"/>
    <col min="1025" max="1026" width="5.88671875" style="273" customWidth="1"/>
    <col min="1027" max="1027" width="9.88671875" style="273" customWidth="1"/>
    <col min="1028" max="1028" width="10.33203125" style="273" customWidth="1"/>
    <col min="1029" max="1029" width="8.33203125" style="273" customWidth="1"/>
    <col min="1030" max="1030" width="10.109375" style="273" customWidth="1"/>
    <col min="1031" max="1031" width="5.88671875" style="273" customWidth="1"/>
    <col min="1032" max="1032" width="13.5546875" style="273" customWidth="1"/>
    <col min="1033" max="1280" width="5.88671875" style="273"/>
    <col min="1281" max="1282" width="5.88671875" style="273" customWidth="1"/>
    <col min="1283" max="1283" width="9.88671875" style="273" customWidth="1"/>
    <col min="1284" max="1284" width="10.33203125" style="273" customWidth="1"/>
    <col min="1285" max="1285" width="8.33203125" style="273" customWidth="1"/>
    <col min="1286" max="1286" width="10.109375" style="273" customWidth="1"/>
    <col min="1287" max="1287" width="5.88671875" style="273" customWidth="1"/>
    <col min="1288" max="1288" width="13.5546875" style="273" customWidth="1"/>
    <col min="1289" max="1536" width="5.88671875" style="273"/>
    <col min="1537" max="1538" width="5.88671875" style="273" customWidth="1"/>
    <col min="1539" max="1539" width="9.88671875" style="273" customWidth="1"/>
    <col min="1540" max="1540" width="10.33203125" style="273" customWidth="1"/>
    <col min="1541" max="1541" width="8.33203125" style="273" customWidth="1"/>
    <col min="1542" max="1542" width="10.109375" style="273" customWidth="1"/>
    <col min="1543" max="1543" width="5.88671875" style="273" customWidth="1"/>
    <col min="1544" max="1544" width="13.5546875" style="273" customWidth="1"/>
    <col min="1545" max="1792" width="5.88671875" style="273"/>
    <col min="1793" max="1794" width="5.88671875" style="273" customWidth="1"/>
    <col min="1795" max="1795" width="9.88671875" style="273" customWidth="1"/>
    <col min="1796" max="1796" width="10.33203125" style="273" customWidth="1"/>
    <col min="1797" max="1797" width="8.33203125" style="273" customWidth="1"/>
    <col min="1798" max="1798" width="10.109375" style="273" customWidth="1"/>
    <col min="1799" max="1799" width="5.88671875" style="273" customWidth="1"/>
    <col min="1800" max="1800" width="13.5546875" style="273" customWidth="1"/>
    <col min="1801" max="2048" width="5.88671875" style="273"/>
    <col min="2049" max="2050" width="5.88671875" style="273" customWidth="1"/>
    <col min="2051" max="2051" width="9.88671875" style="273" customWidth="1"/>
    <col min="2052" max="2052" width="10.33203125" style="273" customWidth="1"/>
    <col min="2053" max="2053" width="8.33203125" style="273" customWidth="1"/>
    <col min="2054" max="2054" width="10.109375" style="273" customWidth="1"/>
    <col min="2055" max="2055" width="5.88671875" style="273" customWidth="1"/>
    <col min="2056" max="2056" width="13.5546875" style="273" customWidth="1"/>
    <col min="2057" max="2304" width="5.88671875" style="273"/>
    <col min="2305" max="2306" width="5.88671875" style="273" customWidth="1"/>
    <col min="2307" max="2307" width="9.88671875" style="273" customWidth="1"/>
    <col min="2308" max="2308" width="10.33203125" style="273" customWidth="1"/>
    <col min="2309" max="2309" width="8.33203125" style="273" customWidth="1"/>
    <col min="2310" max="2310" width="10.109375" style="273" customWidth="1"/>
    <col min="2311" max="2311" width="5.88671875" style="273" customWidth="1"/>
    <col min="2312" max="2312" width="13.5546875" style="273" customWidth="1"/>
    <col min="2313" max="2560" width="5.88671875" style="273"/>
    <col min="2561" max="2562" width="5.88671875" style="273" customWidth="1"/>
    <col min="2563" max="2563" width="9.88671875" style="273" customWidth="1"/>
    <col min="2564" max="2564" width="10.33203125" style="273" customWidth="1"/>
    <col min="2565" max="2565" width="8.33203125" style="273" customWidth="1"/>
    <col min="2566" max="2566" width="10.109375" style="273" customWidth="1"/>
    <col min="2567" max="2567" width="5.88671875" style="273" customWidth="1"/>
    <col min="2568" max="2568" width="13.5546875" style="273" customWidth="1"/>
    <col min="2569" max="2816" width="5.88671875" style="273"/>
    <col min="2817" max="2818" width="5.88671875" style="273" customWidth="1"/>
    <col min="2819" max="2819" width="9.88671875" style="273" customWidth="1"/>
    <col min="2820" max="2820" width="10.33203125" style="273" customWidth="1"/>
    <col min="2821" max="2821" width="8.33203125" style="273" customWidth="1"/>
    <col min="2822" max="2822" width="10.109375" style="273" customWidth="1"/>
    <col min="2823" max="2823" width="5.88671875" style="273" customWidth="1"/>
    <col min="2824" max="2824" width="13.5546875" style="273" customWidth="1"/>
    <col min="2825" max="3072" width="5.88671875" style="273"/>
    <col min="3073" max="3074" width="5.88671875" style="273" customWidth="1"/>
    <col min="3075" max="3075" width="9.88671875" style="273" customWidth="1"/>
    <col min="3076" max="3076" width="10.33203125" style="273" customWidth="1"/>
    <col min="3077" max="3077" width="8.33203125" style="273" customWidth="1"/>
    <col min="3078" max="3078" width="10.109375" style="273" customWidth="1"/>
    <col min="3079" max="3079" width="5.88671875" style="273" customWidth="1"/>
    <col min="3080" max="3080" width="13.5546875" style="273" customWidth="1"/>
    <col min="3081" max="3328" width="5.88671875" style="273"/>
    <col min="3329" max="3330" width="5.88671875" style="273" customWidth="1"/>
    <col min="3331" max="3331" width="9.88671875" style="273" customWidth="1"/>
    <col min="3332" max="3332" width="10.33203125" style="273" customWidth="1"/>
    <col min="3333" max="3333" width="8.33203125" style="273" customWidth="1"/>
    <col min="3334" max="3334" width="10.109375" style="273" customWidth="1"/>
    <col min="3335" max="3335" width="5.88671875" style="273" customWidth="1"/>
    <col min="3336" max="3336" width="13.5546875" style="273" customWidth="1"/>
    <col min="3337" max="3584" width="5.88671875" style="273"/>
    <col min="3585" max="3586" width="5.88671875" style="273" customWidth="1"/>
    <col min="3587" max="3587" width="9.88671875" style="273" customWidth="1"/>
    <col min="3588" max="3588" width="10.33203125" style="273" customWidth="1"/>
    <col min="3589" max="3589" width="8.33203125" style="273" customWidth="1"/>
    <col min="3590" max="3590" width="10.109375" style="273" customWidth="1"/>
    <col min="3591" max="3591" width="5.88671875" style="273" customWidth="1"/>
    <col min="3592" max="3592" width="13.5546875" style="273" customWidth="1"/>
    <col min="3593" max="3840" width="5.88671875" style="273"/>
    <col min="3841" max="3842" width="5.88671875" style="273" customWidth="1"/>
    <col min="3843" max="3843" width="9.88671875" style="273" customWidth="1"/>
    <col min="3844" max="3844" width="10.33203125" style="273" customWidth="1"/>
    <col min="3845" max="3845" width="8.33203125" style="273" customWidth="1"/>
    <col min="3846" max="3846" width="10.109375" style="273" customWidth="1"/>
    <col min="3847" max="3847" width="5.88671875" style="273" customWidth="1"/>
    <col min="3848" max="3848" width="13.5546875" style="273" customWidth="1"/>
    <col min="3849" max="4096" width="5.88671875" style="273"/>
    <col min="4097" max="4098" width="5.88671875" style="273" customWidth="1"/>
    <col min="4099" max="4099" width="9.88671875" style="273" customWidth="1"/>
    <col min="4100" max="4100" width="10.33203125" style="273" customWidth="1"/>
    <col min="4101" max="4101" width="8.33203125" style="273" customWidth="1"/>
    <col min="4102" max="4102" width="10.109375" style="273" customWidth="1"/>
    <col min="4103" max="4103" width="5.88671875" style="273" customWidth="1"/>
    <col min="4104" max="4104" width="13.5546875" style="273" customWidth="1"/>
    <col min="4105" max="4352" width="5.88671875" style="273"/>
    <col min="4353" max="4354" width="5.88671875" style="273" customWidth="1"/>
    <col min="4355" max="4355" width="9.88671875" style="273" customWidth="1"/>
    <col min="4356" max="4356" width="10.33203125" style="273" customWidth="1"/>
    <col min="4357" max="4357" width="8.33203125" style="273" customWidth="1"/>
    <col min="4358" max="4358" width="10.109375" style="273" customWidth="1"/>
    <col min="4359" max="4359" width="5.88671875" style="273" customWidth="1"/>
    <col min="4360" max="4360" width="13.5546875" style="273" customWidth="1"/>
    <col min="4361" max="4608" width="5.88671875" style="273"/>
    <col min="4609" max="4610" width="5.88671875" style="273" customWidth="1"/>
    <col min="4611" max="4611" width="9.88671875" style="273" customWidth="1"/>
    <col min="4612" max="4612" width="10.33203125" style="273" customWidth="1"/>
    <col min="4613" max="4613" width="8.33203125" style="273" customWidth="1"/>
    <col min="4614" max="4614" width="10.109375" style="273" customWidth="1"/>
    <col min="4615" max="4615" width="5.88671875" style="273" customWidth="1"/>
    <col min="4616" max="4616" width="13.5546875" style="273" customWidth="1"/>
    <col min="4617" max="4864" width="5.88671875" style="273"/>
    <col min="4865" max="4866" width="5.88671875" style="273" customWidth="1"/>
    <col min="4867" max="4867" width="9.88671875" style="273" customWidth="1"/>
    <col min="4868" max="4868" width="10.33203125" style="273" customWidth="1"/>
    <col min="4869" max="4869" width="8.33203125" style="273" customWidth="1"/>
    <col min="4870" max="4870" width="10.109375" style="273" customWidth="1"/>
    <col min="4871" max="4871" width="5.88671875" style="273" customWidth="1"/>
    <col min="4872" max="4872" width="13.5546875" style="273" customWidth="1"/>
    <col min="4873" max="5120" width="5.88671875" style="273"/>
    <col min="5121" max="5122" width="5.88671875" style="273" customWidth="1"/>
    <col min="5123" max="5123" width="9.88671875" style="273" customWidth="1"/>
    <col min="5124" max="5124" width="10.33203125" style="273" customWidth="1"/>
    <col min="5125" max="5125" width="8.33203125" style="273" customWidth="1"/>
    <col min="5126" max="5126" width="10.109375" style="273" customWidth="1"/>
    <col min="5127" max="5127" width="5.88671875" style="273" customWidth="1"/>
    <col min="5128" max="5128" width="13.5546875" style="273" customWidth="1"/>
    <col min="5129" max="5376" width="5.88671875" style="273"/>
    <col min="5377" max="5378" width="5.88671875" style="273" customWidth="1"/>
    <col min="5379" max="5379" width="9.88671875" style="273" customWidth="1"/>
    <col min="5380" max="5380" width="10.33203125" style="273" customWidth="1"/>
    <col min="5381" max="5381" width="8.33203125" style="273" customWidth="1"/>
    <col min="5382" max="5382" width="10.109375" style="273" customWidth="1"/>
    <col min="5383" max="5383" width="5.88671875" style="273" customWidth="1"/>
    <col min="5384" max="5384" width="13.5546875" style="273" customWidth="1"/>
    <col min="5385" max="5632" width="5.88671875" style="273"/>
    <col min="5633" max="5634" width="5.88671875" style="273" customWidth="1"/>
    <col min="5635" max="5635" width="9.88671875" style="273" customWidth="1"/>
    <col min="5636" max="5636" width="10.33203125" style="273" customWidth="1"/>
    <col min="5637" max="5637" width="8.33203125" style="273" customWidth="1"/>
    <col min="5638" max="5638" width="10.109375" style="273" customWidth="1"/>
    <col min="5639" max="5639" width="5.88671875" style="273" customWidth="1"/>
    <col min="5640" max="5640" width="13.5546875" style="273" customWidth="1"/>
    <col min="5641" max="5888" width="5.88671875" style="273"/>
    <col min="5889" max="5890" width="5.88671875" style="273" customWidth="1"/>
    <col min="5891" max="5891" width="9.88671875" style="273" customWidth="1"/>
    <col min="5892" max="5892" width="10.33203125" style="273" customWidth="1"/>
    <col min="5893" max="5893" width="8.33203125" style="273" customWidth="1"/>
    <col min="5894" max="5894" width="10.109375" style="273" customWidth="1"/>
    <col min="5895" max="5895" width="5.88671875" style="273" customWidth="1"/>
    <col min="5896" max="5896" width="13.5546875" style="273" customWidth="1"/>
    <col min="5897" max="6144" width="5.88671875" style="273"/>
    <col min="6145" max="6146" width="5.88671875" style="273" customWidth="1"/>
    <col min="6147" max="6147" width="9.88671875" style="273" customWidth="1"/>
    <col min="6148" max="6148" width="10.33203125" style="273" customWidth="1"/>
    <col min="6149" max="6149" width="8.33203125" style="273" customWidth="1"/>
    <col min="6150" max="6150" width="10.109375" style="273" customWidth="1"/>
    <col min="6151" max="6151" width="5.88671875" style="273" customWidth="1"/>
    <col min="6152" max="6152" width="13.5546875" style="273" customWidth="1"/>
    <col min="6153" max="6400" width="5.88671875" style="273"/>
    <col min="6401" max="6402" width="5.88671875" style="273" customWidth="1"/>
    <col min="6403" max="6403" width="9.88671875" style="273" customWidth="1"/>
    <col min="6404" max="6404" width="10.33203125" style="273" customWidth="1"/>
    <col min="6405" max="6405" width="8.33203125" style="273" customWidth="1"/>
    <col min="6406" max="6406" width="10.109375" style="273" customWidth="1"/>
    <col min="6407" max="6407" width="5.88671875" style="273" customWidth="1"/>
    <col min="6408" max="6408" width="13.5546875" style="273" customWidth="1"/>
    <col min="6409" max="6656" width="5.88671875" style="273"/>
    <col min="6657" max="6658" width="5.88671875" style="273" customWidth="1"/>
    <col min="6659" max="6659" width="9.88671875" style="273" customWidth="1"/>
    <col min="6660" max="6660" width="10.33203125" style="273" customWidth="1"/>
    <col min="6661" max="6661" width="8.33203125" style="273" customWidth="1"/>
    <col min="6662" max="6662" width="10.109375" style="273" customWidth="1"/>
    <col min="6663" max="6663" width="5.88671875" style="273" customWidth="1"/>
    <col min="6664" max="6664" width="13.5546875" style="273" customWidth="1"/>
    <col min="6665" max="6912" width="5.88671875" style="273"/>
    <col min="6913" max="6914" width="5.88671875" style="273" customWidth="1"/>
    <col min="6915" max="6915" width="9.88671875" style="273" customWidth="1"/>
    <col min="6916" max="6916" width="10.33203125" style="273" customWidth="1"/>
    <col min="6917" max="6917" width="8.33203125" style="273" customWidth="1"/>
    <col min="6918" max="6918" width="10.109375" style="273" customWidth="1"/>
    <col min="6919" max="6919" width="5.88671875" style="273" customWidth="1"/>
    <col min="6920" max="6920" width="13.5546875" style="273" customWidth="1"/>
    <col min="6921" max="7168" width="5.88671875" style="273"/>
    <col min="7169" max="7170" width="5.88671875" style="273" customWidth="1"/>
    <col min="7171" max="7171" width="9.88671875" style="273" customWidth="1"/>
    <col min="7172" max="7172" width="10.33203125" style="273" customWidth="1"/>
    <col min="7173" max="7173" width="8.33203125" style="273" customWidth="1"/>
    <col min="7174" max="7174" width="10.109375" style="273" customWidth="1"/>
    <col min="7175" max="7175" width="5.88671875" style="273" customWidth="1"/>
    <col min="7176" max="7176" width="13.5546875" style="273" customWidth="1"/>
    <col min="7177" max="7424" width="5.88671875" style="273"/>
    <col min="7425" max="7426" width="5.88671875" style="273" customWidth="1"/>
    <col min="7427" max="7427" width="9.88671875" style="273" customWidth="1"/>
    <col min="7428" max="7428" width="10.33203125" style="273" customWidth="1"/>
    <col min="7429" max="7429" width="8.33203125" style="273" customWidth="1"/>
    <col min="7430" max="7430" width="10.109375" style="273" customWidth="1"/>
    <col min="7431" max="7431" width="5.88671875" style="273" customWidth="1"/>
    <col min="7432" max="7432" width="13.5546875" style="273" customWidth="1"/>
    <col min="7433" max="7680" width="5.88671875" style="273"/>
    <col min="7681" max="7682" width="5.88671875" style="273" customWidth="1"/>
    <col min="7683" max="7683" width="9.88671875" style="273" customWidth="1"/>
    <col min="7684" max="7684" width="10.33203125" style="273" customWidth="1"/>
    <col min="7685" max="7685" width="8.33203125" style="273" customWidth="1"/>
    <col min="7686" max="7686" width="10.109375" style="273" customWidth="1"/>
    <col min="7687" max="7687" width="5.88671875" style="273" customWidth="1"/>
    <col min="7688" max="7688" width="13.5546875" style="273" customWidth="1"/>
    <col min="7689" max="7936" width="5.88671875" style="273"/>
    <col min="7937" max="7938" width="5.88671875" style="273" customWidth="1"/>
    <col min="7939" max="7939" width="9.88671875" style="273" customWidth="1"/>
    <col min="7940" max="7940" width="10.33203125" style="273" customWidth="1"/>
    <col min="7941" max="7941" width="8.33203125" style="273" customWidth="1"/>
    <col min="7942" max="7942" width="10.109375" style="273" customWidth="1"/>
    <col min="7943" max="7943" width="5.88671875" style="273" customWidth="1"/>
    <col min="7944" max="7944" width="13.5546875" style="273" customWidth="1"/>
    <col min="7945" max="8192" width="5.88671875" style="273"/>
    <col min="8193" max="8194" width="5.88671875" style="273" customWidth="1"/>
    <col min="8195" max="8195" width="9.88671875" style="273" customWidth="1"/>
    <col min="8196" max="8196" width="10.33203125" style="273" customWidth="1"/>
    <col min="8197" max="8197" width="8.33203125" style="273" customWidth="1"/>
    <col min="8198" max="8198" width="10.109375" style="273" customWidth="1"/>
    <col min="8199" max="8199" width="5.88671875" style="273" customWidth="1"/>
    <col min="8200" max="8200" width="13.5546875" style="273" customWidth="1"/>
    <col min="8201" max="8448" width="5.88671875" style="273"/>
    <col min="8449" max="8450" width="5.88671875" style="273" customWidth="1"/>
    <col min="8451" max="8451" width="9.88671875" style="273" customWidth="1"/>
    <col min="8452" max="8452" width="10.33203125" style="273" customWidth="1"/>
    <col min="8453" max="8453" width="8.33203125" style="273" customWidth="1"/>
    <col min="8454" max="8454" width="10.109375" style="273" customWidth="1"/>
    <col min="8455" max="8455" width="5.88671875" style="273" customWidth="1"/>
    <col min="8456" max="8456" width="13.5546875" style="273" customWidth="1"/>
    <col min="8457" max="8704" width="5.88671875" style="273"/>
    <col min="8705" max="8706" width="5.88671875" style="273" customWidth="1"/>
    <col min="8707" max="8707" width="9.88671875" style="273" customWidth="1"/>
    <col min="8708" max="8708" width="10.33203125" style="273" customWidth="1"/>
    <col min="8709" max="8709" width="8.33203125" style="273" customWidth="1"/>
    <col min="8710" max="8710" width="10.109375" style="273" customWidth="1"/>
    <col min="8711" max="8711" width="5.88671875" style="273" customWidth="1"/>
    <col min="8712" max="8712" width="13.5546875" style="273" customWidth="1"/>
    <col min="8713" max="8960" width="5.88671875" style="273"/>
    <col min="8961" max="8962" width="5.88671875" style="273" customWidth="1"/>
    <col min="8963" max="8963" width="9.88671875" style="273" customWidth="1"/>
    <col min="8964" max="8964" width="10.33203125" style="273" customWidth="1"/>
    <col min="8965" max="8965" width="8.33203125" style="273" customWidth="1"/>
    <col min="8966" max="8966" width="10.109375" style="273" customWidth="1"/>
    <col min="8967" max="8967" width="5.88671875" style="273" customWidth="1"/>
    <col min="8968" max="8968" width="13.5546875" style="273" customWidth="1"/>
    <col min="8969" max="9216" width="5.88671875" style="273"/>
    <col min="9217" max="9218" width="5.88671875" style="273" customWidth="1"/>
    <col min="9219" max="9219" width="9.88671875" style="273" customWidth="1"/>
    <col min="9220" max="9220" width="10.33203125" style="273" customWidth="1"/>
    <col min="9221" max="9221" width="8.33203125" style="273" customWidth="1"/>
    <col min="9222" max="9222" width="10.109375" style="273" customWidth="1"/>
    <col min="9223" max="9223" width="5.88671875" style="273" customWidth="1"/>
    <col min="9224" max="9224" width="13.5546875" style="273" customWidth="1"/>
    <col min="9225" max="9472" width="5.88671875" style="273"/>
    <col min="9473" max="9474" width="5.88671875" style="273" customWidth="1"/>
    <col min="9475" max="9475" width="9.88671875" style="273" customWidth="1"/>
    <col min="9476" max="9476" width="10.33203125" style="273" customWidth="1"/>
    <col min="9477" max="9477" width="8.33203125" style="273" customWidth="1"/>
    <col min="9478" max="9478" width="10.109375" style="273" customWidth="1"/>
    <col min="9479" max="9479" width="5.88671875" style="273" customWidth="1"/>
    <col min="9480" max="9480" width="13.5546875" style="273" customWidth="1"/>
    <col min="9481" max="9728" width="5.88671875" style="273"/>
    <col min="9729" max="9730" width="5.88671875" style="273" customWidth="1"/>
    <col min="9731" max="9731" width="9.88671875" style="273" customWidth="1"/>
    <col min="9732" max="9732" width="10.33203125" style="273" customWidth="1"/>
    <col min="9733" max="9733" width="8.33203125" style="273" customWidth="1"/>
    <col min="9734" max="9734" width="10.109375" style="273" customWidth="1"/>
    <col min="9735" max="9735" width="5.88671875" style="273" customWidth="1"/>
    <col min="9736" max="9736" width="13.5546875" style="273" customWidth="1"/>
    <col min="9737" max="9984" width="5.88671875" style="273"/>
    <col min="9985" max="9986" width="5.88671875" style="273" customWidth="1"/>
    <col min="9987" max="9987" width="9.88671875" style="273" customWidth="1"/>
    <col min="9988" max="9988" width="10.33203125" style="273" customWidth="1"/>
    <col min="9989" max="9989" width="8.33203125" style="273" customWidth="1"/>
    <col min="9990" max="9990" width="10.109375" style="273" customWidth="1"/>
    <col min="9991" max="9991" width="5.88671875" style="273" customWidth="1"/>
    <col min="9992" max="9992" width="13.5546875" style="273" customWidth="1"/>
    <col min="9993" max="10240" width="5.88671875" style="273"/>
    <col min="10241" max="10242" width="5.88671875" style="273" customWidth="1"/>
    <col min="10243" max="10243" width="9.88671875" style="273" customWidth="1"/>
    <col min="10244" max="10244" width="10.33203125" style="273" customWidth="1"/>
    <col min="10245" max="10245" width="8.33203125" style="273" customWidth="1"/>
    <col min="10246" max="10246" width="10.109375" style="273" customWidth="1"/>
    <col min="10247" max="10247" width="5.88671875" style="273" customWidth="1"/>
    <col min="10248" max="10248" width="13.5546875" style="273" customWidth="1"/>
    <col min="10249" max="10496" width="5.88671875" style="273"/>
    <col min="10497" max="10498" width="5.88671875" style="273" customWidth="1"/>
    <col min="10499" max="10499" width="9.88671875" style="273" customWidth="1"/>
    <col min="10500" max="10500" width="10.33203125" style="273" customWidth="1"/>
    <col min="10501" max="10501" width="8.33203125" style="273" customWidth="1"/>
    <col min="10502" max="10502" width="10.109375" style="273" customWidth="1"/>
    <col min="10503" max="10503" width="5.88671875" style="273" customWidth="1"/>
    <col min="10504" max="10504" width="13.5546875" style="273" customWidth="1"/>
    <col min="10505" max="10752" width="5.88671875" style="273"/>
    <col min="10753" max="10754" width="5.88671875" style="273" customWidth="1"/>
    <col min="10755" max="10755" width="9.88671875" style="273" customWidth="1"/>
    <col min="10756" max="10756" width="10.33203125" style="273" customWidth="1"/>
    <col min="10757" max="10757" width="8.33203125" style="273" customWidth="1"/>
    <col min="10758" max="10758" width="10.109375" style="273" customWidth="1"/>
    <col min="10759" max="10759" width="5.88671875" style="273" customWidth="1"/>
    <col min="10760" max="10760" width="13.5546875" style="273" customWidth="1"/>
    <col min="10761" max="11008" width="5.88671875" style="273"/>
    <col min="11009" max="11010" width="5.88671875" style="273" customWidth="1"/>
    <col min="11011" max="11011" width="9.88671875" style="273" customWidth="1"/>
    <col min="11012" max="11012" width="10.33203125" style="273" customWidth="1"/>
    <col min="11013" max="11013" width="8.33203125" style="273" customWidth="1"/>
    <col min="11014" max="11014" width="10.109375" style="273" customWidth="1"/>
    <col min="11015" max="11015" width="5.88671875" style="273" customWidth="1"/>
    <col min="11016" max="11016" width="13.5546875" style="273" customWidth="1"/>
    <col min="11017" max="11264" width="5.88671875" style="273"/>
    <col min="11265" max="11266" width="5.88671875" style="273" customWidth="1"/>
    <col min="11267" max="11267" width="9.88671875" style="273" customWidth="1"/>
    <col min="11268" max="11268" width="10.33203125" style="273" customWidth="1"/>
    <col min="11269" max="11269" width="8.33203125" style="273" customWidth="1"/>
    <col min="11270" max="11270" width="10.109375" style="273" customWidth="1"/>
    <col min="11271" max="11271" width="5.88671875" style="273" customWidth="1"/>
    <col min="11272" max="11272" width="13.5546875" style="273" customWidth="1"/>
    <col min="11273" max="11520" width="5.88671875" style="273"/>
    <col min="11521" max="11522" width="5.88671875" style="273" customWidth="1"/>
    <col min="11523" max="11523" width="9.88671875" style="273" customWidth="1"/>
    <col min="11524" max="11524" width="10.33203125" style="273" customWidth="1"/>
    <col min="11525" max="11525" width="8.33203125" style="273" customWidth="1"/>
    <col min="11526" max="11526" width="10.109375" style="273" customWidth="1"/>
    <col min="11527" max="11527" width="5.88671875" style="273" customWidth="1"/>
    <col min="11528" max="11528" width="13.5546875" style="273" customWidth="1"/>
    <col min="11529" max="11776" width="5.88671875" style="273"/>
    <col min="11777" max="11778" width="5.88671875" style="273" customWidth="1"/>
    <col min="11779" max="11779" width="9.88671875" style="273" customWidth="1"/>
    <col min="11780" max="11780" width="10.33203125" style="273" customWidth="1"/>
    <col min="11781" max="11781" width="8.33203125" style="273" customWidth="1"/>
    <col min="11782" max="11782" width="10.109375" style="273" customWidth="1"/>
    <col min="11783" max="11783" width="5.88671875" style="273" customWidth="1"/>
    <col min="11784" max="11784" width="13.5546875" style="273" customWidth="1"/>
    <col min="11785" max="12032" width="5.88671875" style="273"/>
    <col min="12033" max="12034" width="5.88671875" style="273" customWidth="1"/>
    <col min="12035" max="12035" width="9.88671875" style="273" customWidth="1"/>
    <col min="12036" max="12036" width="10.33203125" style="273" customWidth="1"/>
    <col min="12037" max="12037" width="8.33203125" style="273" customWidth="1"/>
    <col min="12038" max="12038" width="10.109375" style="273" customWidth="1"/>
    <col min="12039" max="12039" width="5.88671875" style="273" customWidth="1"/>
    <col min="12040" max="12040" width="13.5546875" style="273" customWidth="1"/>
    <col min="12041" max="12288" width="5.88671875" style="273"/>
    <col min="12289" max="12290" width="5.88671875" style="273" customWidth="1"/>
    <col min="12291" max="12291" width="9.88671875" style="273" customWidth="1"/>
    <col min="12292" max="12292" width="10.33203125" style="273" customWidth="1"/>
    <col min="12293" max="12293" width="8.33203125" style="273" customWidth="1"/>
    <col min="12294" max="12294" width="10.109375" style="273" customWidth="1"/>
    <col min="12295" max="12295" width="5.88671875" style="273" customWidth="1"/>
    <col min="12296" max="12296" width="13.5546875" style="273" customWidth="1"/>
    <col min="12297" max="12544" width="5.88671875" style="273"/>
    <col min="12545" max="12546" width="5.88671875" style="273" customWidth="1"/>
    <col min="12547" max="12547" width="9.88671875" style="273" customWidth="1"/>
    <col min="12548" max="12548" width="10.33203125" style="273" customWidth="1"/>
    <col min="12549" max="12549" width="8.33203125" style="273" customWidth="1"/>
    <col min="12550" max="12550" width="10.109375" style="273" customWidth="1"/>
    <col min="12551" max="12551" width="5.88671875" style="273" customWidth="1"/>
    <col min="12552" max="12552" width="13.5546875" style="273" customWidth="1"/>
    <col min="12553" max="12800" width="5.88671875" style="273"/>
    <col min="12801" max="12802" width="5.88671875" style="273" customWidth="1"/>
    <col min="12803" max="12803" width="9.88671875" style="273" customWidth="1"/>
    <col min="12804" max="12804" width="10.33203125" style="273" customWidth="1"/>
    <col min="12805" max="12805" width="8.33203125" style="273" customWidth="1"/>
    <col min="12806" max="12806" width="10.109375" style="273" customWidth="1"/>
    <col min="12807" max="12807" width="5.88671875" style="273" customWidth="1"/>
    <col min="12808" max="12808" width="13.5546875" style="273" customWidth="1"/>
    <col min="12809" max="13056" width="5.88671875" style="273"/>
    <col min="13057" max="13058" width="5.88671875" style="273" customWidth="1"/>
    <col min="13059" max="13059" width="9.88671875" style="273" customWidth="1"/>
    <col min="13060" max="13060" width="10.33203125" style="273" customWidth="1"/>
    <col min="13061" max="13061" width="8.33203125" style="273" customWidth="1"/>
    <col min="13062" max="13062" width="10.109375" style="273" customWidth="1"/>
    <col min="13063" max="13063" width="5.88671875" style="273" customWidth="1"/>
    <col min="13064" max="13064" width="13.5546875" style="273" customWidth="1"/>
    <col min="13065" max="13312" width="5.88671875" style="273"/>
    <col min="13313" max="13314" width="5.88671875" style="273" customWidth="1"/>
    <col min="13315" max="13315" width="9.88671875" style="273" customWidth="1"/>
    <col min="13316" max="13316" width="10.33203125" style="273" customWidth="1"/>
    <col min="13317" max="13317" width="8.33203125" style="273" customWidth="1"/>
    <col min="13318" max="13318" width="10.109375" style="273" customWidth="1"/>
    <col min="13319" max="13319" width="5.88671875" style="273" customWidth="1"/>
    <col min="13320" max="13320" width="13.5546875" style="273" customWidth="1"/>
    <col min="13321" max="13568" width="5.88671875" style="273"/>
    <col min="13569" max="13570" width="5.88671875" style="273" customWidth="1"/>
    <col min="13571" max="13571" width="9.88671875" style="273" customWidth="1"/>
    <col min="13572" max="13572" width="10.33203125" style="273" customWidth="1"/>
    <col min="13573" max="13573" width="8.33203125" style="273" customWidth="1"/>
    <col min="13574" max="13574" width="10.109375" style="273" customWidth="1"/>
    <col min="13575" max="13575" width="5.88671875" style="273" customWidth="1"/>
    <col min="13576" max="13576" width="13.5546875" style="273" customWidth="1"/>
    <col min="13577" max="13824" width="5.88671875" style="273"/>
    <col min="13825" max="13826" width="5.88671875" style="273" customWidth="1"/>
    <col min="13827" max="13827" width="9.88671875" style="273" customWidth="1"/>
    <col min="13828" max="13828" width="10.33203125" style="273" customWidth="1"/>
    <col min="13829" max="13829" width="8.33203125" style="273" customWidth="1"/>
    <col min="13830" max="13830" width="10.109375" style="273" customWidth="1"/>
    <col min="13831" max="13831" width="5.88671875" style="273" customWidth="1"/>
    <col min="13832" max="13832" width="13.5546875" style="273" customWidth="1"/>
    <col min="13833" max="14080" width="5.88671875" style="273"/>
    <col min="14081" max="14082" width="5.88671875" style="273" customWidth="1"/>
    <col min="14083" max="14083" width="9.88671875" style="273" customWidth="1"/>
    <col min="14084" max="14084" width="10.33203125" style="273" customWidth="1"/>
    <col min="14085" max="14085" width="8.33203125" style="273" customWidth="1"/>
    <col min="14086" max="14086" width="10.109375" style="273" customWidth="1"/>
    <col min="14087" max="14087" width="5.88671875" style="273" customWidth="1"/>
    <col min="14088" max="14088" width="13.5546875" style="273" customWidth="1"/>
    <col min="14089" max="14336" width="5.88671875" style="273"/>
    <col min="14337" max="14338" width="5.88671875" style="273" customWidth="1"/>
    <col min="14339" max="14339" width="9.88671875" style="273" customWidth="1"/>
    <col min="14340" max="14340" width="10.33203125" style="273" customWidth="1"/>
    <col min="14341" max="14341" width="8.33203125" style="273" customWidth="1"/>
    <col min="14342" max="14342" width="10.109375" style="273" customWidth="1"/>
    <col min="14343" max="14343" width="5.88671875" style="273" customWidth="1"/>
    <col min="14344" max="14344" width="13.5546875" style="273" customWidth="1"/>
    <col min="14345" max="14592" width="5.88671875" style="273"/>
    <col min="14593" max="14594" width="5.88671875" style="273" customWidth="1"/>
    <col min="14595" max="14595" width="9.88671875" style="273" customWidth="1"/>
    <col min="14596" max="14596" width="10.33203125" style="273" customWidth="1"/>
    <col min="14597" max="14597" width="8.33203125" style="273" customWidth="1"/>
    <col min="14598" max="14598" width="10.109375" style="273" customWidth="1"/>
    <col min="14599" max="14599" width="5.88671875" style="273" customWidth="1"/>
    <col min="14600" max="14600" width="13.5546875" style="273" customWidth="1"/>
    <col min="14601" max="14848" width="5.88671875" style="273"/>
    <col min="14849" max="14850" width="5.88671875" style="273" customWidth="1"/>
    <col min="14851" max="14851" width="9.88671875" style="273" customWidth="1"/>
    <col min="14852" max="14852" width="10.33203125" style="273" customWidth="1"/>
    <col min="14853" max="14853" width="8.33203125" style="273" customWidth="1"/>
    <col min="14854" max="14854" width="10.109375" style="273" customWidth="1"/>
    <col min="14855" max="14855" width="5.88671875" style="273" customWidth="1"/>
    <col min="14856" max="14856" width="13.5546875" style="273" customWidth="1"/>
    <col min="14857" max="15104" width="5.88671875" style="273"/>
    <col min="15105" max="15106" width="5.88671875" style="273" customWidth="1"/>
    <col min="15107" max="15107" width="9.88671875" style="273" customWidth="1"/>
    <col min="15108" max="15108" width="10.33203125" style="273" customWidth="1"/>
    <col min="15109" max="15109" width="8.33203125" style="273" customWidth="1"/>
    <col min="15110" max="15110" width="10.109375" style="273" customWidth="1"/>
    <col min="15111" max="15111" width="5.88671875" style="273" customWidth="1"/>
    <col min="15112" max="15112" width="13.5546875" style="273" customWidth="1"/>
    <col min="15113" max="15360" width="5.88671875" style="273"/>
    <col min="15361" max="15362" width="5.88671875" style="273" customWidth="1"/>
    <col min="15363" max="15363" width="9.88671875" style="273" customWidth="1"/>
    <col min="15364" max="15364" width="10.33203125" style="273" customWidth="1"/>
    <col min="15365" max="15365" width="8.33203125" style="273" customWidth="1"/>
    <col min="15366" max="15366" width="10.109375" style="273" customWidth="1"/>
    <col min="15367" max="15367" width="5.88671875" style="273" customWidth="1"/>
    <col min="15368" max="15368" width="13.5546875" style="273" customWidth="1"/>
    <col min="15369" max="15616" width="5.88671875" style="273"/>
    <col min="15617" max="15618" width="5.88671875" style="273" customWidth="1"/>
    <col min="15619" max="15619" width="9.88671875" style="273" customWidth="1"/>
    <col min="15620" max="15620" width="10.33203125" style="273" customWidth="1"/>
    <col min="15621" max="15621" width="8.33203125" style="273" customWidth="1"/>
    <col min="15622" max="15622" width="10.109375" style="273" customWidth="1"/>
    <col min="15623" max="15623" width="5.88671875" style="273" customWidth="1"/>
    <col min="15624" max="15624" width="13.5546875" style="273" customWidth="1"/>
    <col min="15625" max="15872" width="5.88671875" style="273"/>
    <col min="15873" max="15874" width="5.88671875" style="273" customWidth="1"/>
    <col min="15875" max="15875" width="9.88671875" style="273" customWidth="1"/>
    <col min="15876" max="15876" width="10.33203125" style="273" customWidth="1"/>
    <col min="15877" max="15877" width="8.33203125" style="273" customWidth="1"/>
    <col min="15878" max="15878" width="10.109375" style="273" customWidth="1"/>
    <col min="15879" max="15879" width="5.88671875" style="273" customWidth="1"/>
    <col min="15880" max="15880" width="13.5546875" style="273" customWidth="1"/>
    <col min="15881" max="16128" width="5.88671875" style="273"/>
    <col min="16129" max="16130" width="5.88671875" style="273" customWidth="1"/>
    <col min="16131" max="16131" width="9.88671875" style="273" customWidth="1"/>
    <col min="16132" max="16132" width="10.33203125" style="273" customWidth="1"/>
    <col min="16133" max="16133" width="8.33203125" style="273" customWidth="1"/>
    <col min="16134" max="16134" width="10.109375" style="273" customWidth="1"/>
    <col min="16135" max="16135" width="5.88671875" style="273" customWidth="1"/>
    <col min="16136" max="16136" width="13.5546875" style="273" customWidth="1"/>
    <col min="16137" max="16384" width="5.88671875" style="273"/>
  </cols>
  <sheetData>
    <row r="1" spans="1:8" x14ac:dyDescent="0.25">
      <c r="A1" s="316" t="s">
        <v>199</v>
      </c>
    </row>
    <row r="2" spans="1:8" x14ac:dyDescent="0.25">
      <c r="A2" s="316" t="s">
        <v>200</v>
      </c>
    </row>
    <row r="4" spans="1:8" ht="26.4" x14ac:dyDescent="0.25">
      <c r="A4" s="268" t="s">
        <v>193</v>
      </c>
      <c r="B4" s="269"/>
      <c r="C4" s="270" t="s">
        <v>194</v>
      </c>
      <c r="D4" s="270"/>
      <c r="E4" s="271" t="s">
        <v>195</v>
      </c>
      <c r="F4" s="272" t="s">
        <v>196</v>
      </c>
    </row>
    <row r="5" spans="1:8" x14ac:dyDescent="0.25">
      <c r="A5" s="269"/>
      <c r="B5" s="269"/>
      <c r="C5" s="274"/>
      <c r="D5" s="270" t="s">
        <v>197</v>
      </c>
    </row>
    <row r="6" spans="1:8" x14ac:dyDescent="0.25">
      <c r="A6" s="276">
        <v>2012</v>
      </c>
      <c r="B6" s="276">
        <v>1</v>
      </c>
      <c r="C6" s="267">
        <v>31</v>
      </c>
      <c r="D6" s="277">
        <f>C6/SUM(C6:C17)</f>
        <v>8.4699453551912565E-2</v>
      </c>
      <c r="F6" s="279">
        <f t="shared" ref="F6:F17" si="0">E$17*D6</f>
        <v>488.82654918032785</v>
      </c>
      <c r="H6" s="278"/>
    </row>
    <row r="7" spans="1:8" x14ac:dyDescent="0.25">
      <c r="A7" s="276">
        <v>2012</v>
      </c>
      <c r="B7" s="276">
        <v>2</v>
      </c>
      <c r="C7" s="267">
        <v>29</v>
      </c>
      <c r="D7" s="277">
        <f>C7/SUM(C6:C17)</f>
        <v>7.9234972677595633E-2</v>
      </c>
      <c r="F7" s="279">
        <f t="shared" si="0"/>
        <v>457.28935245901641</v>
      </c>
      <c r="H7" s="278"/>
    </row>
    <row r="8" spans="1:8" x14ac:dyDescent="0.25">
      <c r="A8" s="276">
        <v>2012</v>
      </c>
      <c r="B8" s="276">
        <v>3</v>
      </c>
      <c r="C8" s="267">
        <v>31</v>
      </c>
      <c r="D8" s="277">
        <f>C8/SUM(C6:C17)</f>
        <v>8.4699453551912565E-2</v>
      </c>
      <c r="F8" s="279">
        <f t="shared" si="0"/>
        <v>488.82654918032785</v>
      </c>
      <c r="H8" s="278"/>
    </row>
    <row r="9" spans="1:8" x14ac:dyDescent="0.25">
      <c r="A9" s="276">
        <v>2012</v>
      </c>
      <c r="B9" s="276">
        <v>4</v>
      </c>
      <c r="C9" s="267">
        <v>31</v>
      </c>
      <c r="D9" s="277">
        <f>C9/SUM(C6:C17)</f>
        <v>8.4699453551912565E-2</v>
      </c>
      <c r="F9" s="279">
        <f t="shared" si="0"/>
        <v>488.82654918032785</v>
      </c>
      <c r="H9" s="278"/>
    </row>
    <row r="10" spans="1:8" x14ac:dyDescent="0.25">
      <c r="A10" s="276">
        <v>2012</v>
      </c>
      <c r="B10" s="276">
        <v>5</v>
      </c>
      <c r="C10" s="267">
        <v>30</v>
      </c>
      <c r="D10" s="277">
        <f>C10/SUM(C6:C17)</f>
        <v>8.1967213114754092E-2</v>
      </c>
      <c r="F10" s="279">
        <f t="shared" si="0"/>
        <v>473.0579508196721</v>
      </c>
      <c r="H10" s="278"/>
    </row>
    <row r="11" spans="1:8" x14ac:dyDescent="0.25">
      <c r="A11" s="276">
        <v>2012</v>
      </c>
      <c r="B11" s="276">
        <v>6</v>
      </c>
      <c r="C11" s="267">
        <v>31</v>
      </c>
      <c r="D11" s="277">
        <f>C11/SUM(C6:C17)</f>
        <v>8.4699453551912565E-2</v>
      </c>
      <c r="F11" s="279">
        <f t="shared" si="0"/>
        <v>488.82654918032785</v>
      </c>
      <c r="H11" s="278"/>
    </row>
    <row r="12" spans="1:8" x14ac:dyDescent="0.25">
      <c r="A12" s="276">
        <v>2012</v>
      </c>
      <c r="B12" s="276">
        <v>7</v>
      </c>
      <c r="C12" s="267">
        <v>30</v>
      </c>
      <c r="D12" s="277">
        <f>C12/SUM(C6:C17)</f>
        <v>8.1967213114754092E-2</v>
      </c>
      <c r="F12" s="279">
        <f t="shared" si="0"/>
        <v>473.0579508196721</v>
      </c>
      <c r="H12" s="278"/>
    </row>
    <row r="13" spans="1:8" x14ac:dyDescent="0.25">
      <c r="A13" s="276">
        <v>2012</v>
      </c>
      <c r="B13" s="276">
        <v>8</v>
      </c>
      <c r="C13" s="267">
        <v>31</v>
      </c>
      <c r="D13" s="277">
        <f>C13/SUM(C6:C17)</f>
        <v>8.4699453551912565E-2</v>
      </c>
      <c r="F13" s="279">
        <f t="shared" si="0"/>
        <v>488.82654918032785</v>
      </c>
      <c r="H13" s="278"/>
    </row>
    <row r="14" spans="1:8" x14ac:dyDescent="0.25">
      <c r="A14" s="276">
        <v>2012</v>
      </c>
      <c r="B14" s="276">
        <v>9</v>
      </c>
      <c r="C14" s="267">
        <v>31</v>
      </c>
      <c r="D14" s="277">
        <f>C14/SUM(C6:C17)</f>
        <v>8.4699453551912565E-2</v>
      </c>
      <c r="F14" s="279">
        <f t="shared" si="0"/>
        <v>488.82654918032785</v>
      </c>
      <c r="H14" s="278"/>
    </row>
    <row r="15" spans="1:8" x14ac:dyDescent="0.25">
      <c r="A15" s="276">
        <v>2012</v>
      </c>
      <c r="B15" s="276">
        <v>10</v>
      </c>
      <c r="C15" s="267">
        <v>30</v>
      </c>
      <c r="D15" s="277">
        <f>C15/SUM(C6:C17)</f>
        <v>8.1967213114754092E-2</v>
      </c>
      <c r="F15" s="279">
        <f t="shared" si="0"/>
        <v>473.0579508196721</v>
      </c>
      <c r="H15" s="278"/>
    </row>
    <row r="16" spans="1:8" x14ac:dyDescent="0.25">
      <c r="A16" s="276">
        <v>2012</v>
      </c>
      <c r="B16" s="276">
        <v>11</v>
      </c>
      <c r="C16" s="267">
        <v>31</v>
      </c>
      <c r="D16" s="277">
        <f>C16/SUM(C6:C17)</f>
        <v>8.4699453551912565E-2</v>
      </c>
      <c r="F16" s="279">
        <f t="shared" si="0"/>
        <v>488.82654918032785</v>
      </c>
      <c r="H16" s="278"/>
    </row>
    <row r="17" spans="1:8" x14ac:dyDescent="0.25">
      <c r="A17" s="276">
        <v>2012</v>
      </c>
      <c r="B17" s="276">
        <v>12</v>
      </c>
      <c r="C17" s="267">
        <v>30</v>
      </c>
      <c r="D17" s="277">
        <f>C17/SUM(C6:C17)</f>
        <v>8.1967213114754092E-2</v>
      </c>
      <c r="E17" s="275">
        <f>+FORECAST!F8</f>
        <v>5771.3069999999998</v>
      </c>
      <c r="F17" s="279">
        <f t="shared" si="0"/>
        <v>473.0579508196721</v>
      </c>
      <c r="H17" s="278"/>
    </row>
    <row r="18" spans="1:8" x14ac:dyDescent="0.25">
      <c r="A18" s="276">
        <v>2013</v>
      </c>
      <c r="B18" s="276">
        <f t="shared" ref="B18:B29" si="1">B6</f>
        <v>1</v>
      </c>
      <c r="C18" s="267">
        <v>31</v>
      </c>
      <c r="D18" s="277">
        <f>C18/SUM(C18:C29)</f>
        <v>8.4931506849315067E-2</v>
      </c>
      <c r="F18" s="279">
        <f t="shared" ref="F18:F29" si="2">E$29*D18</f>
        <v>1762.0789114985473</v>
      </c>
      <c r="H18" s="278"/>
    </row>
    <row r="19" spans="1:8" x14ac:dyDescent="0.25">
      <c r="A19" s="276">
        <f t="shared" ref="A19:A29" si="3">A18</f>
        <v>2013</v>
      </c>
      <c r="B19" s="276">
        <f t="shared" si="1"/>
        <v>2</v>
      </c>
      <c r="C19" s="267">
        <v>28</v>
      </c>
      <c r="D19" s="277">
        <f>C19/SUM(C18:C29)</f>
        <v>7.6712328767123292E-2</v>
      </c>
      <c r="F19" s="279">
        <f t="shared" si="2"/>
        <v>1591.5551458696557</v>
      </c>
      <c r="H19" s="278"/>
    </row>
    <row r="20" spans="1:8" x14ac:dyDescent="0.25">
      <c r="A20" s="276">
        <f t="shared" si="3"/>
        <v>2013</v>
      </c>
      <c r="B20" s="276">
        <f t="shared" si="1"/>
        <v>3</v>
      </c>
      <c r="C20" s="267">
        <v>31</v>
      </c>
      <c r="D20" s="277">
        <f>C20/SUM(C18:C29)</f>
        <v>8.4931506849315067E-2</v>
      </c>
      <c r="F20" s="279">
        <f t="shared" si="2"/>
        <v>1762.0789114985473</v>
      </c>
      <c r="H20" s="278"/>
    </row>
    <row r="21" spans="1:8" x14ac:dyDescent="0.25">
      <c r="A21" s="276">
        <f t="shared" si="3"/>
        <v>2013</v>
      </c>
      <c r="B21" s="276">
        <f t="shared" si="1"/>
        <v>4</v>
      </c>
      <c r="C21" s="267">
        <v>31</v>
      </c>
      <c r="D21" s="277">
        <f>C21/SUM(C18:C29)</f>
        <v>8.4931506849315067E-2</v>
      </c>
      <c r="F21" s="279">
        <f t="shared" si="2"/>
        <v>1762.0789114985473</v>
      </c>
      <c r="H21" s="278"/>
    </row>
    <row r="22" spans="1:8" x14ac:dyDescent="0.25">
      <c r="A22" s="276">
        <f t="shared" si="3"/>
        <v>2013</v>
      </c>
      <c r="B22" s="276">
        <f t="shared" si="1"/>
        <v>5</v>
      </c>
      <c r="C22" s="267">
        <v>30</v>
      </c>
      <c r="D22" s="277">
        <f>C22/SUM(C18:C29)</f>
        <v>8.2191780821917804E-2</v>
      </c>
      <c r="F22" s="279">
        <f t="shared" si="2"/>
        <v>1705.2376562889167</v>
      </c>
      <c r="H22" s="278"/>
    </row>
    <row r="23" spans="1:8" x14ac:dyDescent="0.25">
      <c r="A23" s="276">
        <f t="shared" si="3"/>
        <v>2013</v>
      </c>
      <c r="B23" s="276">
        <f t="shared" si="1"/>
        <v>6</v>
      </c>
      <c r="C23" s="267">
        <v>31</v>
      </c>
      <c r="D23" s="277">
        <f>C23/SUM(C18:C29)</f>
        <v>8.4931506849315067E-2</v>
      </c>
      <c r="F23" s="279">
        <f t="shared" si="2"/>
        <v>1762.0789114985473</v>
      </c>
      <c r="H23" s="278"/>
    </row>
    <row r="24" spans="1:8" x14ac:dyDescent="0.25">
      <c r="A24" s="276">
        <f t="shared" si="3"/>
        <v>2013</v>
      </c>
      <c r="B24" s="276">
        <f t="shared" si="1"/>
        <v>7</v>
      </c>
      <c r="C24" s="267">
        <v>30</v>
      </c>
      <c r="D24" s="277">
        <f>C24/SUM(C18:C29)</f>
        <v>8.2191780821917804E-2</v>
      </c>
      <c r="F24" s="279">
        <f t="shared" si="2"/>
        <v>1705.2376562889167</v>
      </c>
      <c r="H24" s="278"/>
    </row>
    <row r="25" spans="1:8" x14ac:dyDescent="0.25">
      <c r="A25" s="276">
        <f t="shared" si="3"/>
        <v>2013</v>
      </c>
      <c r="B25" s="276">
        <f t="shared" si="1"/>
        <v>8</v>
      </c>
      <c r="C25" s="267">
        <v>31</v>
      </c>
      <c r="D25" s="277">
        <f>C25/SUM(C18:C29)</f>
        <v>8.4931506849315067E-2</v>
      </c>
      <c r="F25" s="279">
        <f t="shared" si="2"/>
        <v>1762.0789114985473</v>
      </c>
      <c r="H25" s="278"/>
    </row>
    <row r="26" spans="1:8" x14ac:dyDescent="0.25">
      <c r="A26" s="276">
        <f t="shared" si="3"/>
        <v>2013</v>
      </c>
      <c r="B26" s="276">
        <f t="shared" si="1"/>
        <v>9</v>
      </c>
      <c r="C26" s="267">
        <v>31</v>
      </c>
      <c r="D26" s="277">
        <f>C26/SUM(C18:C29)</f>
        <v>8.4931506849315067E-2</v>
      </c>
      <c r="F26" s="279">
        <f t="shared" si="2"/>
        <v>1762.0789114985473</v>
      </c>
      <c r="H26" s="278"/>
    </row>
    <row r="27" spans="1:8" x14ac:dyDescent="0.25">
      <c r="A27" s="276">
        <f t="shared" si="3"/>
        <v>2013</v>
      </c>
      <c r="B27" s="276">
        <f t="shared" si="1"/>
        <v>10</v>
      </c>
      <c r="C27" s="267">
        <v>30</v>
      </c>
      <c r="D27" s="277">
        <f>C27/SUM(C18:C29)</f>
        <v>8.2191780821917804E-2</v>
      </c>
      <c r="F27" s="279">
        <f t="shared" si="2"/>
        <v>1705.2376562889167</v>
      </c>
      <c r="H27" s="278"/>
    </row>
    <row r="28" spans="1:8" x14ac:dyDescent="0.25">
      <c r="A28" s="276">
        <f t="shared" si="3"/>
        <v>2013</v>
      </c>
      <c r="B28" s="276">
        <f t="shared" si="1"/>
        <v>11</v>
      </c>
      <c r="C28" s="267">
        <v>31</v>
      </c>
      <c r="D28" s="277">
        <f>C28/SUM(C18:C29)</f>
        <v>8.4931506849315067E-2</v>
      </c>
      <c r="F28" s="279">
        <f t="shared" si="2"/>
        <v>1762.0789114985473</v>
      </c>
      <c r="H28" s="278"/>
    </row>
    <row r="29" spans="1:8" x14ac:dyDescent="0.25">
      <c r="A29" s="276">
        <f t="shared" si="3"/>
        <v>2013</v>
      </c>
      <c r="B29" s="276">
        <f t="shared" si="1"/>
        <v>12</v>
      </c>
      <c r="C29" s="267">
        <v>30</v>
      </c>
      <c r="D29" s="277">
        <f>C29/SUM(C18:C29)</f>
        <v>8.2191780821917804E-2</v>
      </c>
      <c r="E29" s="275">
        <f>+FORECAST!F9</f>
        <v>20747.058151515153</v>
      </c>
      <c r="F29" s="279">
        <f t="shared" si="2"/>
        <v>1705.2376562889167</v>
      </c>
      <c r="H29" s="278"/>
    </row>
    <row r="30" spans="1:8" x14ac:dyDescent="0.25">
      <c r="A30" s="276">
        <v>2014</v>
      </c>
      <c r="B30" s="276">
        <v>1</v>
      </c>
      <c r="C30" s="280">
        <v>31</v>
      </c>
      <c r="D30" s="277">
        <f>C30/SUM(C30:C41)</f>
        <v>8.4931506849315067E-2</v>
      </c>
      <c r="F30" s="279">
        <f t="shared" ref="F30:F41" si="4">E$41*D30</f>
        <v>2867.4019169779995</v>
      </c>
      <c r="H30" s="278"/>
    </row>
    <row r="31" spans="1:8" x14ac:dyDescent="0.25">
      <c r="A31" s="276">
        <v>2014</v>
      </c>
      <c r="B31" s="276">
        <v>2</v>
      </c>
      <c r="C31" s="280">
        <v>28</v>
      </c>
      <c r="D31" s="277">
        <f>C31/SUM(C30:C41)</f>
        <v>7.6712328767123292E-2</v>
      </c>
      <c r="F31" s="279">
        <f t="shared" si="4"/>
        <v>2589.9114088833544</v>
      </c>
      <c r="H31" s="278"/>
    </row>
    <row r="32" spans="1:8" x14ac:dyDescent="0.25">
      <c r="A32" s="276">
        <v>2014</v>
      </c>
      <c r="B32" s="276">
        <v>3</v>
      </c>
      <c r="C32" s="280">
        <v>31</v>
      </c>
      <c r="D32" s="277">
        <f>C32/SUM(C30:C41)</f>
        <v>8.4931506849315067E-2</v>
      </c>
      <c r="F32" s="279">
        <f t="shared" si="4"/>
        <v>2867.4019169779995</v>
      </c>
      <c r="H32" s="278"/>
    </row>
    <row r="33" spans="1:8" x14ac:dyDescent="0.25">
      <c r="A33" s="276">
        <v>2014</v>
      </c>
      <c r="B33" s="276">
        <v>4</v>
      </c>
      <c r="C33" s="280">
        <v>31</v>
      </c>
      <c r="D33" s="277">
        <f>C33/SUM(C30:C41)</f>
        <v>8.4931506849315067E-2</v>
      </c>
      <c r="F33" s="279">
        <f t="shared" si="4"/>
        <v>2867.4019169779995</v>
      </c>
      <c r="H33" s="278"/>
    </row>
    <row r="34" spans="1:8" x14ac:dyDescent="0.25">
      <c r="A34" s="276">
        <v>2014</v>
      </c>
      <c r="B34" s="276">
        <v>5</v>
      </c>
      <c r="C34" s="280">
        <v>30</v>
      </c>
      <c r="D34" s="277">
        <f>C34/SUM(C30:C41)</f>
        <v>8.2191780821917804E-2</v>
      </c>
      <c r="F34" s="279">
        <f t="shared" si="4"/>
        <v>2774.9050809464507</v>
      </c>
      <c r="H34" s="278"/>
    </row>
    <row r="35" spans="1:8" x14ac:dyDescent="0.25">
      <c r="A35" s="276">
        <v>2014</v>
      </c>
      <c r="B35" s="276">
        <v>6</v>
      </c>
      <c r="C35" s="280">
        <v>31</v>
      </c>
      <c r="D35" s="277">
        <f>C35/SUM(C30:C41)</f>
        <v>8.4931506849315067E-2</v>
      </c>
      <c r="F35" s="279">
        <f t="shared" si="4"/>
        <v>2867.4019169779995</v>
      </c>
      <c r="H35" s="278"/>
    </row>
    <row r="36" spans="1:8" x14ac:dyDescent="0.25">
      <c r="A36" s="276">
        <v>2014</v>
      </c>
      <c r="B36" s="276">
        <v>7</v>
      </c>
      <c r="C36" s="280">
        <v>30</v>
      </c>
      <c r="D36" s="277">
        <f>C36/SUM(C30:C41)</f>
        <v>8.2191780821917804E-2</v>
      </c>
      <c r="F36" s="279">
        <f t="shared" si="4"/>
        <v>2774.9050809464507</v>
      </c>
      <c r="H36" s="278"/>
    </row>
    <row r="37" spans="1:8" x14ac:dyDescent="0.25">
      <c r="A37" s="276">
        <v>2014</v>
      </c>
      <c r="B37" s="276">
        <v>8</v>
      </c>
      <c r="C37" s="280">
        <v>31</v>
      </c>
      <c r="D37" s="277">
        <f>C37/SUM(C30:C41)</f>
        <v>8.4931506849315067E-2</v>
      </c>
      <c r="F37" s="279">
        <f t="shared" si="4"/>
        <v>2867.4019169779995</v>
      </c>
      <c r="H37" s="278"/>
    </row>
    <row r="38" spans="1:8" x14ac:dyDescent="0.25">
      <c r="A38" s="276">
        <v>2014</v>
      </c>
      <c r="B38" s="276">
        <v>9</v>
      </c>
      <c r="C38" s="280">
        <v>31</v>
      </c>
      <c r="D38" s="277">
        <f>C38/SUM(C30:C41)</f>
        <v>8.4931506849315067E-2</v>
      </c>
      <c r="F38" s="279">
        <f t="shared" si="4"/>
        <v>2867.4019169779995</v>
      </c>
      <c r="H38" s="278"/>
    </row>
    <row r="39" spans="1:8" x14ac:dyDescent="0.25">
      <c r="A39" s="276">
        <v>2014</v>
      </c>
      <c r="B39" s="276">
        <v>10</v>
      </c>
      <c r="C39" s="280">
        <v>30</v>
      </c>
      <c r="D39" s="277">
        <f>C39/SUM(C30:C41)</f>
        <v>8.2191780821917804E-2</v>
      </c>
      <c r="F39" s="279">
        <f t="shared" si="4"/>
        <v>2774.9050809464507</v>
      </c>
      <c r="H39" s="278"/>
    </row>
    <row r="40" spans="1:8" x14ac:dyDescent="0.25">
      <c r="A40" s="276">
        <v>2014</v>
      </c>
      <c r="B40" s="276">
        <v>11</v>
      </c>
      <c r="C40" s="280">
        <v>31</v>
      </c>
      <c r="D40" s="277">
        <f>C40/SUM(C30:C41)</f>
        <v>8.4931506849315067E-2</v>
      </c>
      <c r="F40" s="279">
        <f t="shared" si="4"/>
        <v>2867.4019169779995</v>
      </c>
      <c r="H40" s="278"/>
    </row>
    <row r="41" spans="1:8" x14ac:dyDescent="0.25">
      <c r="A41" s="276">
        <v>2014</v>
      </c>
      <c r="B41" s="276">
        <v>12</v>
      </c>
      <c r="C41" s="280">
        <v>30</v>
      </c>
      <c r="D41" s="277">
        <f>C41/SUM(C30:C41)</f>
        <v>8.2191780821917804E-2</v>
      </c>
      <c r="E41" s="275">
        <f>+FORECAST!F10</f>
        <v>33761.345151515154</v>
      </c>
      <c r="F41" s="279">
        <f t="shared" si="4"/>
        <v>2774.9050809464507</v>
      </c>
      <c r="H41" s="278"/>
    </row>
    <row r="42" spans="1:8" x14ac:dyDescent="0.25">
      <c r="A42" s="276">
        <v>2015</v>
      </c>
      <c r="B42" s="276">
        <v>1</v>
      </c>
      <c r="C42" s="280">
        <v>31</v>
      </c>
      <c r="D42" s="277">
        <f>C42/SUM(C42:C53)</f>
        <v>8.4931506849315067E-2</v>
      </c>
      <c r="F42" s="279">
        <f t="shared" ref="F42:F53" si="5">E$53*D42</f>
        <v>4007.3433110707842</v>
      </c>
      <c r="H42" s="278"/>
    </row>
    <row r="43" spans="1:8" x14ac:dyDescent="0.25">
      <c r="A43" s="276">
        <v>2015</v>
      </c>
      <c r="B43" s="276">
        <v>2</v>
      </c>
      <c r="C43" s="280">
        <v>28</v>
      </c>
      <c r="D43" s="277">
        <f>C43/SUM(C42:C53)</f>
        <v>7.6712328767123292E-2</v>
      </c>
      <c r="F43" s="279">
        <f t="shared" si="5"/>
        <v>3619.5358938703862</v>
      </c>
      <c r="H43" s="278"/>
    </row>
    <row r="44" spans="1:8" x14ac:dyDescent="0.25">
      <c r="A44" s="276">
        <v>2015</v>
      </c>
      <c r="B44" s="276">
        <v>3</v>
      </c>
      <c r="C44" s="280">
        <v>31</v>
      </c>
      <c r="D44" s="277">
        <f>C44/SUM(C42:C53)</f>
        <v>8.4931506849315067E-2</v>
      </c>
      <c r="F44" s="279">
        <f t="shared" si="5"/>
        <v>4007.3433110707842</v>
      </c>
      <c r="H44" s="278"/>
    </row>
    <row r="45" spans="1:8" x14ac:dyDescent="0.25">
      <c r="A45" s="276">
        <v>2015</v>
      </c>
      <c r="B45" s="276">
        <v>4</v>
      </c>
      <c r="C45" s="280">
        <v>31</v>
      </c>
      <c r="D45" s="277">
        <f>C45/SUM(C42:C53)</f>
        <v>8.4931506849315067E-2</v>
      </c>
      <c r="F45" s="279">
        <f t="shared" si="5"/>
        <v>4007.3433110707842</v>
      </c>
      <c r="H45" s="278"/>
    </row>
    <row r="46" spans="1:8" x14ac:dyDescent="0.25">
      <c r="A46" s="276">
        <v>2015</v>
      </c>
      <c r="B46" s="276">
        <v>5</v>
      </c>
      <c r="C46" s="280">
        <v>30</v>
      </c>
      <c r="D46" s="277">
        <f>C46/SUM(C42:C53)</f>
        <v>8.2191780821917804E-2</v>
      </c>
      <c r="F46" s="279">
        <f t="shared" si="5"/>
        <v>3878.0741720039846</v>
      </c>
      <c r="H46" s="278"/>
    </row>
    <row r="47" spans="1:8" x14ac:dyDescent="0.25">
      <c r="A47" s="276">
        <v>2015</v>
      </c>
      <c r="B47" s="276">
        <v>6</v>
      </c>
      <c r="C47" s="280">
        <v>31</v>
      </c>
      <c r="D47" s="277">
        <f>C47/SUM(C42:C53)</f>
        <v>8.4931506849315067E-2</v>
      </c>
      <c r="F47" s="279">
        <f t="shared" si="5"/>
        <v>4007.3433110707842</v>
      </c>
      <c r="H47" s="278"/>
    </row>
    <row r="48" spans="1:8" x14ac:dyDescent="0.25">
      <c r="A48" s="276">
        <v>2015</v>
      </c>
      <c r="B48" s="276">
        <v>7</v>
      </c>
      <c r="C48" s="280">
        <v>30</v>
      </c>
      <c r="D48" s="277">
        <f>C48/SUM(C42:C53)</f>
        <v>8.2191780821917804E-2</v>
      </c>
      <c r="F48" s="279">
        <f t="shared" si="5"/>
        <v>3878.0741720039846</v>
      </c>
      <c r="H48" s="278"/>
    </row>
    <row r="49" spans="1:8" x14ac:dyDescent="0.25">
      <c r="A49" s="276">
        <v>2015</v>
      </c>
      <c r="B49" s="276">
        <v>8</v>
      </c>
      <c r="C49" s="280">
        <v>31</v>
      </c>
      <c r="D49" s="277">
        <f>C49/SUM(C42:C53)</f>
        <v>8.4931506849315067E-2</v>
      </c>
      <c r="F49" s="279">
        <f t="shared" si="5"/>
        <v>4007.3433110707842</v>
      </c>
      <c r="H49" s="278"/>
    </row>
    <row r="50" spans="1:8" x14ac:dyDescent="0.25">
      <c r="A50" s="276">
        <v>2015</v>
      </c>
      <c r="B50" s="276">
        <v>9</v>
      </c>
      <c r="C50" s="280">
        <v>31</v>
      </c>
      <c r="D50" s="277">
        <f>C50/SUM(C42:C53)</f>
        <v>8.4931506849315067E-2</v>
      </c>
      <c r="F50" s="279">
        <f t="shared" si="5"/>
        <v>4007.3433110707842</v>
      </c>
      <c r="H50" s="278"/>
    </row>
    <row r="51" spans="1:8" x14ac:dyDescent="0.25">
      <c r="A51" s="276">
        <v>2015</v>
      </c>
      <c r="B51" s="276">
        <v>10</v>
      </c>
      <c r="C51" s="280">
        <v>30</v>
      </c>
      <c r="D51" s="277">
        <f>C51/SUM(C42:C53)</f>
        <v>8.2191780821917804E-2</v>
      </c>
      <c r="F51" s="279">
        <f t="shared" si="5"/>
        <v>3878.0741720039846</v>
      </c>
      <c r="H51" s="278"/>
    </row>
    <row r="52" spans="1:8" x14ac:dyDescent="0.25">
      <c r="A52" s="276">
        <v>2015</v>
      </c>
      <c r="B52" s="276">
        <v>11</v>
      </c>
      <c r="C52" s="280">
        <v>31</v>
      </c>
      <c r="D52" s="277">
        <f>C52/SUM(C42:C53)</f>
        <v>8.4931506849315067E-2</v>
      </c>
      <c r="F52" s="279">
        <f t="shared" si="5"/>
        <v>4007.3433110707842</v>
      </c>
      <c r="H52" s="278"/>
    </row>
    <row r="53" spans="1:8" x14ac:dyDescent="0.25">
      <c r="A53" s="276">
        <v>2015</v>
      </c>
      <c r="B53" s="276">
        <v>12</v>
      </c>
      <c r="C53" s="280">
        <v>30</v>
      </c>
      <c r="D53" s="277">
        <f>C53/SUM(C42:C53)</f>
        <v>8.2191780821917804E-2</v>
      </c>
      <c r="E53" s="275">
        <f>+FORECAST!F11</f>
        <v>47183.235759381816</v>
      </c>
      <c r="F53" s="279">
        <f t="shared" si="5"/>
        <v>3878.0741720039846</v>
      </c>
      <c r="H53" s="278"/>
    </row>
    <row r="54" spans="1:8" x14ac:dyDescent="0.25">
      <c r="A54" s="276">
        <v>2016</v>
      </c>
      <c r="B54" s="276">
        <v>1</v>
      </c>
      <c r="C54" s="280">
        <v>31</v>
      </c>
      <c r="D54" s="277">
        <f>C54/SUM(C54:C65)</f>
        <v>8.4699453551912565E-2</v>
      </c>
      <c r="F54" s="279">
        <f t="shared" ref="F54:F65" si="6">E$65*D54</f>
        <v>5909.8281124563309</v>
      </c>
      <c r="H54" s="278"/>
    </row>
    <row r="55" spans="1:8" x14ac:dyDescent="0.25">
      <c r="A55" s="276">
        <v>2016</v>
      </c>
      <c r="B55" s="276">
        <v>2</v>
      </c>
      <c r="C55" s="280">
        <v>29</v>
      </c>
      <c r="D55" s="277">
        <f>C55/SUM(C54:C65)</f>
        <v>7.9234972677595633E-2</v>
      </c>
      <c r="F55" s="279">
        <f t="shared" si="6"/>
        <v>5528.5488793946333</v>
      </c>
      <c r="H55" s="278"/>
    </row>
    <row r="56" spans="1:8" x14ac:dyDescent="0.25">
      <c r="A56" s="276">
        <v>2016</v>
      </c>
      <c r="B56" s="276">
        <v>3</v>
      </c>
      <c r="C56" s="280">
        <v>31</v>
      </c>
      <c r="D56" s="277">
        <f>C56/SUM(C54:C65)</f>
        <v>8.4699453551912565E-2</v>
      </c>
      <c r="F56" s="279">
        <f t="shared" si="6"/>
        <v>5909.8281124563309</v>
      </c>
      <c r="H56" s="278"/>
    </row>
    <row r="57" spans="1:8" x14ac:dyDescent="0.25">
      <c r="A57" s="276">
        <v>2016</v>
      </c>
      <c r="B57" s="276">
        <v>4</v>
      </c>
      <c r="C57" s="280">
        <v>31</v>
      </c>
      <c r="D57" s="277">
        <f>C57/SUM(C54:C65)</f>
        <v>8.4699453551912565E-2</v>
      </c>
      <c r="F57" s="279">
        <f t="shared" si="6"/>
        <v>5909.8281124563309</v>
      </c>
      <c r="H57" s="278"/>
    </row>
    <row r="58" spans="1:8" x14ac:dyDescent="0.25">
      <c r="A58" s="276">
        <v>2016</v>
      </c>
      <c r="B58" s="276">
        <v>5</v>
      </c>
      <c r="C58" s="280">
        <v>30</v>
      </c>
      <c r="D58" s="277">
        <f>C58/SUM(C54:C65)</f>
        <v>8.1967213114754092E-2</v>
      </c>
      <c r="F58" s="279">
        <f t="shared" si="6"/>
        <v>5719.1884959254821</v>
      </c>
      <c r="H58" s="278"/>
    </row>
    <row r="59" spans="1:8" x14ac:dyDescent="0.25">
      <c r="A59" s="276">
        <v>2016</v>
      </c>
      <c r="B59" s="276">
        <v>6</v>
      </c>
      <c r="C59" s="280">
        <v>31</v>
      </c>
      <c r="D59" s="277">
        <f>C59/SUM(C54:C65)</f>
        <v>8.4699453551912565E-2</v>
      </c>
      <c r="F59" s="279">
        <f t="shared" si="6"/>
        <v>5909.8281124563309</v>
      </c>
      <c r="H59" s="278"/>
    </row>
    <row r="60" spans="1:8" x14ac:dyDescent="0.25">
      <c r="A60" s="276">
        <v>2016</v>
      </c>
      <c r="B60" s="276">
        <v>7</v>
      </c>
      <c r="C60" s="280">
        <v>30</v>
      </c>
      <c r="D60" s="277">
        <f>C60/SUM(C54:C65)</f>
        <v>8.1967213114754092E-2</v>
      </c>
      <c r="F60" s="279">
        <f t="shared" si="6"/>
        <v>5719.1884959254821</v>
      </c>
      <c r="H60" s="278"/>
    </row>
    <row r="61" spans="1:8" x14ac:dyDescent="0.25">
      <c r="A61" s="276">
        <v>2016</v>
      </c>
      <c r="B61" s="276">
        <v>8</v>
      </c>
      <c r="C61" s="280">
        <v>31</v>
      </c>
      <c r="D61" s="277">
        <f>C61/SUM(C54:C65)</f>
        <v>8.4699453551912565E-2</v>
      </c>
      <c r="F61" s="279">
        <f t="shared" si="6"/>
        <v>5909.8281124563309</v>
      </c>
      <c r="H61" s="278"/>
    </row>
    <row r="62" spans="1:8" x14ac:dyDescent="0.25">
      <c r="A62" s="276">
        <v>2016</v>
      </c>
      <c r="B62" s="276">
        <v>9</v>
      </c>
      <c r="C62" s="280">
        <v>31</v>
      </c>
      <c r="D62" s="277">
        <f>C62/SUM(C54:C65)</f>
        <v>8.4699453551912565E-2</v>
      </c>
      <c r="F62" s="279">
        <f t="shared" si="6"/>
        <v>5909.8281124563309</v>
      </c>
      <c r="H62" s="278"/>
    </row>
    <row r="63" spans="1:8" x14ac:dyDescent="0.25">
      <c r="A63" s="276">
        <v>2016</v>
      </c>
      <c r="B63" s="276">
        <v>10</v>
      </c>
      <c r="C63" s="280">
        <v>30</v>
      </c>
      <c r="D63" s="277">
        <f>C63/SUM(C54:C65)</f>
        <v>8.1967213114754092E-2</v>
      </c>
      <c r="F63" s="279">
        <f t="shared" si="6"/>
        <v>5719.1884959254821</v>
      </c>
      <c r="H63" s="278"/>
    </row>
    <row r="64" spans="1:8" x14ac:dyDescent="0.25">
      <c r="A64" s="276">
        <v>2016</v>
      </c>
      <c r="B64" s="276">
        <v>11</v>
      </c>
      <c r="C64" s="280">
        <v>31</v>
      </c>
      <c r="D64" s="277">
        <f>C64/SUM(C54:C65)</f>
        <v>8.4699453551912565E-2</v>
      </c>
      <c r="F64" s="279">
        <f t="shared" si="6"/>
        <v>5909.8281124563309</v>
      </c>
      <c r="H64" s="278"/>
    </row>
    <row r="65" spans="1:8" x14ac:dyDescent="0.25">
      <c r="A65" s="276">
        <v>2016</v>
      </c>
      <c r="B65" s="276">
        <v>12</v>
      </c>
      <c r="C65" s="280">
        <v>30</v>
      </c>
      <c r="D65" s="277">
        <f>C65/SUM(C54:C65)</f>
        <v>8.1967213114754092E-2</v>
      </c>
      <c r="E65" s="275">
        <f>+FORECAST!F12</f>
        <v>69774.099650290882</v>
      </c>
      <c r="F65" s="279">
        <f t="shared" si="6"/>
        <v>5719.1884959254821</v>
      </c>
      <c r="H65" s="278"/>
    </row>
    <row r="66" spans="1:8" x14ac:dyDescent="0.25">
      <c r="A66" s="276">
        <v>2017</v>
      </c>
      <c r="B66" s="276">
        <v>1</v>
      </c>
      <c r="C66" s="280">
        <v>31</v>
      </c>
      <c r="D66" s="277">
        <f>C66/SUM(C66:C77)</f>
        <v>8.4931506849315067E-2</v>
      </c>
      <c r="F66" s="279">
        <f t="shared" ref="F66:F77" si="7">E$77*D66</f>
        <v>9067.5370206756143</v>
      </c>
      <c r="H66" s="278"/>
    </row>
    <row r="67" spans="1:8" x14ac:dyDescent="0.25">
      <c r="A67" s="276">
        <v>2017</v>
      </c>
      <c r="B67" s="276">
        <v>2</v>
      </c>
      <c r="C67" s="280">
        <v>28</v>
      </c>
      <c r="D67" s="277">
        <f>C67/SUM(C66:C77)</f>
        <v>7.6712328767123292E-2</v>
      </c>
      <c r="F67" s="279">
        <f t="shared" si="7"/>
        <v>8190.0334380295872</v>
      </c>
      <c r="H67" s="278"/>
    </row>
    <row r="68" spans="1:8" x14ac:dyDescent="0.25">
      <c r="A68" s="276">
        <v>2017</v>
      </c>
      <c r="B68" s="276">
        <v>3</v>
      </c>
      <c r="C68" s="280">
        <v>31</v>
      </c>
      <c r="D68" s="277">
        <f>C68/SUM(C66:C77)</f>
        <v>8.4931506849315067E-2</v>
      </c>
      <c r="F68" s="279">
        <f t="shared" si="7"/>
        <v>9067.5370206756143</v>
      </c>
      <c r="H68" s="278"/>
    </row>
    <row r="69" spans="1:8" x14ac:dyDescent="0.25">
      <c r="A69" s="276">
        <v>2017</v>
      </c>
      <c r="B69" s="276">
        <v>4</v>
      </c>
      <c r="C69" s="280">
        <v>31</v>
      </c>
      <c r="D69" s="277">
        <f>C69/SUM(C66:C77)</f>
        <v>8.4931506849315067E-2</v>
      </c>
      <c r="F69" s="279">
        <f t="shared" si="7"/>
        <v>9067.5370206756143</v>
      </c>
      <c r="H69" s="278"/>
    </row>
    <row r="70" spans="1:8" x14ac:dyDescent="0.25">
      <c r="A70" s="276">
        <v>2017</v>
      </c>
      <c r="B70" s="276">
        <v>5</v>
      </c>
      <c r="C70" s="280">
        <v>30</v>
      </c>
      <c r="D70" s="277">
        <f>C70/SUM(C66:C77)</f>
        <v>8.2191780821917804E-2</v>
      </c>
      <c r="F70" s="279">
        <f t="shared" si="7"/>
        <v>8775.035826460271</v>
      </c>
      <c r="H70" s="278"/>
    </row>
    <row r="71" spans="1:8" x14ac:dyDescent="0.25">
      <c r="A71" s="276">
        <v>2017</v>
      </c>
      <c r="B71" s="276">
        <v>6</v>
      </c>
      <c r="C71" s="280">
        <v>31</v>
      </c>
      <c r="D71" s="277">
        <f>C71/SUM(C66:C77)</f>
        <v>8.4931506849315067E-2</v>
      </c>
      <c r="F71" s="279">
        <f t="shared" si="7"/>
        <v>9067.5370206756143</v>
      </c>
      <c r="H71" s="278"/>
    </row>
    <row r="72" spans="1:8" x14ac:dyDescent="0.25">
      <c r="A72" s="276">
        <v>2017</v>
      </c>
      <c r="B72" s="276">
        <v>7</v>
      </c>
      <c r="C72" s="280">
        <v>30</v>
      </c>
      <c r="D72" s="277">
        <f>C72/SUM(C66:C77)</f>
        <v>8.2191780821917804E-2</v>
      </c>
      <c r="F72" s="279">
        <f t="shared" si="7"/>
        <v>8775.035826460271</v>
      </c>
      <c r="H72" s="278"/>
    </row>
    <row r="73" spans="1:8" x14ac:dyDescent="0.25">
      <c r="A73" s="276">
        <v>2017</v>
      </c>
      <c r="B73" s="276">
        <v>8</v>
      </c>
      <c r="C73" s="280">
        <v>31</v>
      </c>
      <c r="D73" s="277">
        <f>C73/SUM(C66:C77)</f>
        <v>8.4931506849315067E-2</v>
      </c>
      <c r="F73" s="279">
        <f t="shared" si="7"/>
        <v>9067.5370206756143</v>
      </c>
      <c r="H73" s="278"/>
    </row>
    <row r="74" spans="1:8" x14ac:dyDescent="0.25">
      <c r="A74" s="276">
        <v>2017</v>
      </c>
      <c r="B74" s="276">
        <v>9</v>
      </c>
      <c r="C74" s="280">
        <v>31</v>
      </c>
      <c r="D74" s="277">
        <f>C74/SUM(C66:C77)</f>
        <v>8.4931506849315067E-2</v>
      </c>
      <c r="F74" s="279">
        <f t="shared" si="7"/>
        <v>9067.5370206756143</v>
      </c>
      <c r="H74" s="278"/>
    </row>
    <row r="75" spans="1:8" x14ac:dyDescent="0.25">
      <c r="A75" s="276">
        <v>2017</v>
      </c>
      <c r="B75" s="276">
        <v>10</v>
      </c>
      <c r="C75" s="280">
        <v>30</v>
      </c>
      <c r="D75" s="277">
        <f>C75/SUM(C66:C77)</f>
        <v>8.2191780821917804E-2</v>
      </c>
      <c r="F75" s="279">
        <f t="shared" si="7"/>
        <v>8775.035826460271</v>
      </c>
      <c r="H75" s="278"/>
    </row>
    <row r="76" spans="1:8" x14ac:dyDescent="0.25">
      <c r="A76" s="276">
        <v>2017</v>
      </c>
      <c r="B76" s="276">
        <v>11</v>
      </c>
      <c r="C76" s="280">
        <v>31</v>
      </c>
      <c r="D76" s="277">
        <f>C76/SUM(C66:C77)</f>
        <v>8.4931506849315067E-2</v>
      </c>
      <c r="F76" s="279">
        <f t="shared" si="7"/>
        <v>9067.5370206756143</v>
      </c>
      <c r="H76" s="278"/>
    </row>
    <row r="77" spans="1:8" x14ac:dyDescent="0.25">
      <c r="A77" s="276">
        <v>2017</v>
      </c>
      <c r="B77" s="276">
        <v>12</v>
      </c>
      <c r="C77" s="280">
        <v>30</v>
      </c>
      <c r="D77" s="277">
        <f>C77/SUM(C66:C77)</f>
        <v>8.2191780821917804E-2</v>
      </c>
      <c r="E77" s="275">
        <f>+FORECAST!F13</f>
        <v>106762.93588859997</v>
      </c>
      <c r="F77" s="279">
        <f t="shared" si="7"/>
        <v>8775.035826460271</v>
      </c>
      <c r="H77" s="278"/>
    </row>
    <row r="78" spans="1:8" x14ac:dyDescent="0.25">
      <c r="A78" s="276">
        <v>2018</v>
      </c>
      <c r="B78" s="276">
        <v>1</v>
      </c>
      <c r="C78" s="280">
        <v>31</v>
      </c>
      <c r="D78" s="277">
        <f>C78/SUM(C78:C89)</f>
        <v>8.4931506849315067E-2</v>
      </c>
      <c r="F78" s="279">
        <f t="shared" ref="F78:F89" si="8">E$89*D78</f>
        <v>15712.372211086918</v>
      </c>
      <c r="H78" s="278"/>
    </row>
    <row r="79" spans="1:8" x14ac:dyDescent="0.25">
      <c r="A79" s="276">
        <v>2018</v>
      </c>
      <c r="B79" s="276">
        <v>2</v>
      </c>
      <c r="C79" s="280">
        <v>28</v>
      </c>
      <c r="D79" s="277">
        <f>C79/SUM(C78:C89)</f>
        <v>7.6712328767123292E-2</v>
      </c>
      <c r="F79" s="279">
        <f t="shared" si="8"/>
        <v>14191.820061626895</v>
      </c>
      <c r="H79" s="278"/>
    </row>
    <row r="80" spans="1:8" x14ac:dyDescent="0.25">
      <c r="A80" s="276">
        <v>2018</v>
      </c>
      <c r="B80" s="276">
        <v>3</v>
      </c>
      <c r="C80" s="280">
        <v>31</v>
      </c>
      <c r="D80" s="277">
        <f>C80/SUM(C78:C89)</f>
        <v>8.4931506849315067E-2</v>
      </c>
      <c r="F80" s="279">
        <f t="shared" si="8"/>
        <v>15712.372211086918</v>
      </c>
      <c r="H80" s="278"/>
    </row>
    <row r="81" spans="1:8" x14ac:dyDescent="0.25">
      <c r="A81" s="276">
        <v>2018</v>
      </c>
      <c r="B81" s="276">
        <v>4</v>
      </c>
      <c r="C81" s="280">
        <v>31</v>
      </c>
      <c r="D81" s="277">
        <f>C81/SUM(C78:C89)</f>
        <v>8.4931506849315067E-2</v>
      </c>
      <c r="F81" s="279">
        <f t="shared" si="8"/>
        <v>15712.372211086918</v>
      </c>
      <c r="H81" s="278"/>
    </row>
    <row r="82" spans="1:8" x14ac:dyDescent="0.25">
      <c r="A82" s="276">
        <v>2018</v>
      </c>
      <c r="B82" s="276">
        <v>5</v>
      </c>
      <c r="C82" s="280">
        <v>30</v>
      </c>
      <c r="D82" s="277">
        <f>C82/SUM(C78:C89)</f>
        <v>8.2191780821917804E-2</v>
      </c>
      <c r="F82" s="279">
        <f t="shared" si="8"/>
        <v>15205.521494600243</v>
      </c>
      <c r="H82" s="278"/>
    </row>
    <row r="83" spans="1:8" x14ac:dyDescent="0.25">
      <c r="A83" s="276">
        <v>2018</v>
      </c>
      <c r="B83" s="276">
        <v>6</v>
      </c>
      <c r="C83" s="280">
        <v>31</v>
      </c>
      <c r="D83" s="277">
        <f>C83/SUM(C78:C89)</f>
        <v>8.4931506849315067E-2</v>
      </c>
      <c r="F83" s="279">
        <f t="shared" si="8"/>
        <v>15712.372211086918</v>
      </c>
      <c r="H83" s="278"/>
    </row>
    <row r="84" spans="1:8" x14ac:dyDescent="0.25">
      <c r="A84" s="276">
        <v>2018</v>
      </c>
      <c r="B84" s="276">
        <v>7</v>
      </c>
      <c r="C84" s="280">
        <v>30</v>
      </c>
      <c r="D84" s="277">
        <f>C84/SUM(C78:C89)</f>
        <v>8.2191780821917804E-2</v>
      </c>
      <c r="F84" s="279">
        <f t="shared" si="8"/>
        <v>15205.521494600243</v>
      </c>
      <c r="H84" s="278"/>
    </row>
    <row r="85" spans="1:8" x14ac:dyDescent="0.25">
      <c r="A85" s="276">
        <v>2018</v>
      </c>
      <c r="B85" s="276">
        <v>8</v>
      </c>
      <c r="C85" s="280">
        <v>31</v>
      </c>
      <c r="D85" s="277">
        <f>C85/SUM(C78:C89)</f>
        <v>8.4931506849315067E-2</v>
      </c>
      <c r="F85" s="279">
        <f t="shared" si="8"/>
        <v>15712.372211086918</v>
      </c>
      <c r="H85" s="278"/>
    </row>
    <row r="86" spans="1:8" x14ac:dyDescent="0.25">
      <c r="A86" s="276">
        <v>2018</v>
      </c>
      <c r="B86" s="276">
        <v>9</v>
      </c>
      <c r="C86" s="280">
        <v>31</v>
      </c>
      <c r="D86" s="277">
        <f>C86/SUM(C78:C89)</f>
        <v>8.4931506849315067E-2</v>
      </c>
      <c r="F86" s="279">
        <f t="shared" si="8"/>
        <v>15712.372211086918</v>
      </c>
      <c r="H86" s="278"/>
    </row>
    <row r="87" spans="1:8" x14ac:dyDescent="0.25">
      <c r="A87" s="276">
        <v>2018</v>
      </c>
      <c r="B87" s="276">
        <v>10</v>
      </c>
      <c r="C87" s="280">
        <v>30</v>
      </c>
      <c r="D87" s="277">
        <f>C87/SUM(C78:C89)</f>
        <v>8.2191780821917804E-2</v>
      </c>
      <c r="F87" s="279">
        <f t="shared" si="8"/>
        <v>15205.521494600243</v>
      </c>
      <c r="H87" s="278"/>
    </row>
    <row r="88" spans="1:8" x14ac:dyDescent="0.25">
      <c r="A88" s="276">
        <v>2018</v>
      </c>
      <c r="B88" s="276">
        <v>11</v>
      </c>
      <c r="C88" s="280">
        <v>31</v>
      </c>
      <c r="D88" s="277">
        <f>C88/SUM(C78:C89)</f>
        <v>8.4931506849315067E-2</v>
      </c>
      <c r="F88" s="279">
        <f t="shared" si="8"/>
        <v>15712.372211086918</v>
      </c>
      <c r="H88" s="278"/>
    </row>
    <row r="89" spans="1:8" x14ac:dyDescent="0.25">
      <c r="A89" s="276">
        <v>2018</v>
      </c>
      <c r="B89" s="276">
        <v>12</v>
      </c>
      <c r="C89" s="280">
        <v>30</v>
      </c>
      <c r="D89" s="277">
        <f>C89/SUM(C78:C89)</f>
        <v>8.2191780821917804E-2</v>
      </c>
      <c r="E89" s="275">
        <f>+FORECAST!F14</f>
        <v>185000.5115176363</v>
      </c>
      <c r="F89" s="279">
        <f t="shared" si="8"/>
        <v>15205.521494600243</v>
      </c>
      <c r="H89" s="278"/>
    </row>
    <row r="90" spans="1:8" x14ac:dyDescent="0.25">
      <c r="A90" s="276">
        <v>2019</v>
      </c>
      <c r="B90" s="276">
        <v>1</v>
      </c>
      <c r="C90" s="280">
        <v>31</v>
      </c>
      <c r="D90" s="277">
        <f>C90/SUM(C90:C101)</f>
        <v>8.4931506849315067E-2</v>
      </c>
      <c r="F90" s="279">
        <f t="shared" ref="F90:F101" si="9">E$101*D90</f>
        <v>23567.048080017681</v>
      </c>
      <c r="H90" s="278"/>
    </row>
    <row r="91" spans="1:8" x14ac:dyDescent="0.25">
      <c r="A91" s="276">
        <v>2019</v>
      </c>
      <c r="B91" s="276">
        <v>2</v>
      </c>
      <c r="C91" s="280">
        <v>28</v>
      </c>
      <c r="D91" s="277">
        <f>C91/SUM(C90:C101)</f>
        <v>7.6712328767123292E-2</v>
      </c>
      <c r="F91" s="279">
        <f t="shared" si="9"/>
        <v>21286.366007757904</v>
      </c>
      <c r="H91" s="278"/>
    </row>
    <row r="92" spans="1:8" x14ac:dyDescent="0.25">
      <c r="A92" s="276">
        <v>2019</v>
      </c>
      <c r="B92" s="276">
        <v>3</v>
      </c>
      <c r="C92" s="280">
        <v>31</v>
      </c>
      <c r="D92" s="277">
        <f>C92/SUM(C90:C101)</f>
        <v>8.4931506849315067E-2</v>
      </c>
      <c r="F92" s="279">
        <f t="shared" si="9"/>
        <v>23567.048080017681</v>
      </c>
      <c r="H92" s="278"/>
    </row>
    <row r="93" spans="1:8" x14ac:dyDescent="0.25">
      <c r="A93" s="276">
        <v>2019</v>
      </c>
      <c r="B93" s="276">
        <v>4</v>
      </c>
      <c r="C93" s="280">
        <v>31</v>
      </c>
      <c r="D93" s="277">
        <f>C93/SUM(C90:C101)</f>
        <v>8.4931506849315067E-2</v>
      </c>
      <c r="F93" s="279">
        <f t="shared" si="9"/>
        <v>23567.048080017681</v>
      </c>
      <c r="H93" s="278"/>
    </row>
    <row r="94" spans="1:8" x14ac:dyDescent="0.25">
      <c r="A94" s="276">
        <v>2019</v>
      </c>
      <c r="B94" s="276">
        <v>5</v>
      </c>
      <c r="C94" s="280">
        <v>30</v>
      </c>
      <c r="D94" s="277">
        <f>C94/SUM(C90:C101)</f>
        <v>8.2191780821917804E-2</v>
      </c>
      <c r="F94" s="279">
        <f t="shared" si="9"/>
        <v>22806.820722597753</v>
      </c>
      <c r="H94" s="278"/>
    </row>
    <row r="95" spans="1:8" x14ac:dyDescent="0.25">
      <c r="A95" s="276">
        <v>2019</v>
      </c>
      <c r="B95" s="276">
        <v>6</v>
      </c>
      <c r="C95" s="280">
        <v>31</v>
      </c>
      <c r="D95" s="277">
        <f>C95/SUM(C90:C101)</f>
        <v>8.4931506849315067E-2</v>
      </c>
      <c r="F95" s="279">
        <f t="shared" si="9"/>
        <v>23567.048080017681</v>
      </c>
      <c r="H95" s="278"/>
    </row>
    <row r="96" spans="1:8" x14ac:dyDescent="0.25">
      <c r="A96" s="276">
        <v>2019</v>
      </c>
      <c r="B96" s="276">
        <v>7</v>
      </c>
      <c r="C96" s="280">
        <v>30</v>
      </c>
      <c r="D96" s="277">
        <f>C96/SUM(C90:C101)</f>
        <v>8.2191780821917804E-2</v>
      </c>
      <c r="F96" s="279">
        <f t="shared" si="9"/>
        <v>22806.820722597753</v>
      </c>
      <c r="H96" s="278"/>
    </row>
    <row r="97" spans="1:8" x14ac:dyDescent="0.25">
      <c r="A97" s="276">
        <v>2019</v>
      </c>
      <c r="B97" s="276">
        <v>8</v>
      </c>
      <c r="C97" s="280">
        <v>31</v>
      </c>
      <c r="D97" s="277">
        <f>C97/SUM(C90:C101)</f>
        <v>8.4931506849315067E-2</v>
      </c>
      <c r="F97" s="279">
        <f t="shared" si="9"/>
        <v>23567.048080017681</v>
      </c>
      <c r="H97" s="278"/>
    </row>
    <row r="98" spans="1:8" x14ac:dyDescent="0.25">
      <c r="A98" s="276">
        <v>2019</v>
      </c>
      <c r="B98" s="276">
        <v>9</v>
      </c>
      <c r="C98" s="280">
        <v>31</v>
      </c>
      <c r="D98" s="277">
        <f>C98/SUM(C90:C101)</f>
        <v>8.4931506849315067E-2</v>
      </c>
      <c r="F98" s="279">
        <f t="shared" si="9"/>
        <v>23567.048080017681</v>
      </c>
      <c r="H98" s="278"/>
    </row>
    <row r="99" spans="1:8" x14ac:dyDescent="0.25">
      <c r="A99" s="276">
        <v>2019</v>
      </c>
      <c r="B99" s="276">
        <v>10</v>
      </c>
      <c r="C99" s="280">
        <v>30</v>
      </c>
      <c r="D99" s="277">
        <f>C99/SUM(C90:C101)</f>
        <v>8.2191780821917804E-2</v>
      </c>
      <c r="F99" s="279">
        <f t="shared" si="9"/>
        <v>22806.820722597753</v>
      </c>
      <c r="H99" s="278"/>
    </row>
    <row r="100" spans="1:8" x14ac:dyDescent="0.25">
      <c r="A100" s="276">
        <v>2019</v>
      </c>
      <c r="B100" s="276">
        <v>11</v>
      </c>
      <c r="C100" s="280">
        <v>31</v>
      </c>
      <c r="D100" s="277">
        <f>C100/SUM(C90:C101)</f>
        <v>8.4931506849315067E-2</v>
      </c>
      <c r="F100" s="279">
        <f t="shared" si="9"/>
        <v>23567.048080017681</v>
      </c>
      <c r="H100" s="278"/>
    </row>
    <row r="101" spans="1:8" x14ac:dyDescent="0.25">
      <c r="A101" s="276">
        <v>2019</v>
      </c>
      <c r="B101" s="276">
        <v>12</v>
      </c>
      <c r="C101" s="280">
        <v>30</v>
      </c>
      <c r="D101" s="277">
        <f>C101/SUM(C90:C101)</f>
        <v>8.2191780821917804E-2</v>
      </c>
      <c r="E101" s="275">
        <f>+FORECAST!F15</f>
        <v>277482.98545827268</v>
      </c>
      <c r="F101" s="279">
        <f t="shared" si="9"/>
        <v>22806.820722597753</v>
      </c>
      <c r="H101" s="278"/>
    </row>
    <row r="102" spans="1:8" x14ac:dyDescent="0.25">
      <c r="A102" s="276">
        <v>2020</v>
      </c>
      <c r="B102" s="276">
        <v>1</v>
      </c>
      <c r="C102" s="280">
        <v>31</v>
      </c>
      <c r="D102" s="277">
        <f>C102/SUM(C102:C113)</f>
        <v>8.4699453551912565E-2</v>
      </c>
      <c r="F102" s="279">
        <f t="shared" ref="F102:F113" si="10">E$113*D102</f>
        <v>31728.1354385782</v>
      </c>
      <c r="H102" s="278"/>
    </row>
    <row r="103" spans="1:8" x14ac:dyDescent="0.25">
      <c r="A103" s="276">
        <v>2020</v>
      </c>
      <c r="B103" s="276">
        <v>2</v>
      </c>
      <c r="C103" s="280">
        <v>29</v>
      </c>
      <c r="D103" s="277">
        <f>C103/SUM(C102:C113)</f>
        <v>7.9234972677595633E-2</v>
      </c>
      <c r="F103" s="279">
        <f t="shared" si="10"/>
        <v>29681.158958669934</v>
      </c>
      <c r="H103" s="278"/>
    </row>
    <row r="104" spans="1:8" x14ac:dyDescent="0.25">
      <c r="A104" s="276">
        <v>2020</v>
      </c>
      <c r="B104" s="276">
        <v>3</v>
      </c>
      <c r="C104" s="280">
        <v>31</v>
      </c>
      <c r="D104" s="277">
        <f>C104/SUM(C102:C113)</f>
        <v>8.4699453551912565E-2</v>
      </c>
      <c r="F104" s="279">
        <f t="shared" si="10"/>
        <v>31728.1354385782</v>
      </c>
      <c r="H104" s="278"/>
    </row>
    <row r="105" spans="1:8" x14ac:dyDescent="0.25">
      <c r="A105" s="276">
        <v>2020</v>
      </c>
      <c r="B105" s="276">
        <v>4</v>
      </c>
      <c r="C105" s="280">
        <v>31</v>
      </c>
      <c r="D105" s="277">
        <f>C105/SUM(C102:C113)</f>
        <v>8.4699453551912565E-2</v>
      </c>
      <c r="F105" s="279">
        <f t="shared" si="10"/>
        <v>31728.1354385782</v>
      </c>
      <c r="H105" s="278"/>
    </row>
    <row r="106" spans="1:8" x14ac:dyDescent="0.25">
      <c r="A106" s="276">
        <v>2020</v>
      </c>
      <c r="B106" s="276">
        <v>5</v>
      </c>
      <c r="C106" s="280">
        <v>30</v>
      </c>
      <c r="D106" s="277">
        <f>C106/SUM(C102:C113)</f>
        <v>8.1967213114754092E-2</v>
      </c>
      <c r="F106" s="279">
        <f t="shared" si="10"/>
        <v>30704.647198624065</v>
      </c>
      <c r="H106" s="278"/>
    </row>
    <row r="107" spans="1:8" x14ac:dyDescent="0.25">
      <c r="A107" s="276">
        <v>2020</v>
      </c>
      <c r="B107" s="276">
        <v>6</v>
      </c>
      <c r="C107" s="280">
        <v>31</v>
      </c>
      <c r="D107" s="277">
        <f>C107/SUM(C102:C113)</f>
        <v>8.4699453551912565E-2</v>
      </c>
      <c r="F107" s="279">
        <f t="shared" si="10"/>
        <v>31728.1354385782</v>
      </c>
      <c r="H107" s="278"/>
    </row>
    <row r="108" spans="1:8" x14ac:dyDescent="0.25">
      <c r="A108" s="276">
        <v>2020</v>
      </c>
      <c r="B108" s="276">
        <v>7</v>
      </c>
      <c r="C108" s="280">
        <v>30</v>
      </c>
      <c r="D108" s="277">
        <f>C108/SUM(C102:C113)</f>
        <v>8.1967213114754092E-2</v>
      </c>
      <c r="F108" s="279">
        <f t="shared" si="10"/>
        <v>30704.647198624065</v>
      </c>
      <c r="H108" s="278"/>
    </row>
    <row r="109" spans="1:8" x14ac:dyDescent="0.25">
      <c r="A109" s="276">
        <v>2020</v>
      </c>
      <c r="B109" s="276">
        <v>8</v>
      </c>
      <c r="C109" s="280">
        <v>31</v>
      </c>
      <c r="D109" s="277">
        <f>C109/SUM(C102:C113)</f>
        <v>8.4699453551912565E-2</v>
      </c>
      <c r="F109" s="279">
        <f t="shared" si="10"/>
        <v>31728.1354385782</v>
      </c>
      <c r="H109" s="278"/>
    </row>
    <row r="110" spans="1:8" x14ac:dyDescent="0.25">
      <c r="A110" s="276">
        <v>2020</v>
      </c>
      <c r="B110" s="276">
        <v>9</v>
      </c>
      <c r="C110" s="280">
        <v>31</v>
      </c>
      <c r="D110" s="277">
        <f>C110/SUM(C102:C113)</f>
        <v>8.4699453551912565E-2</v>
      </c>
      <c r="F110" s="279">
        <f t="shared" si="10"/>
        <v>31728.1354385782</v>
      </c>
      <c r="H110" s="278"/>
    </row>
    <row r="111" spans="1:8" x14ac:dyDescent="0.25">
      <c r="A111" s="276">
        <v>2020</v>
      </c>
      <c r="B111" s="276">
        <v>10</v>
      </c>
      <c r="C111" s="280">
        <v>30</v>
      </c>
      <c r="D111" s="277">
        <f>C111/SUM(C102:C113)</f>
        <v>8.1967213114754092E-2</v>
      </c>
      <c r="F111" s="279">
        <f t="shared" si="10"/>
        <v>30704.647198624065</v>
      </c>
      <c r="H111" s="278"/>
    </row>
    <row r="112" spans="1:8" x14ac:dyDescent="0.25">
      <c r="A112" s="276">
        <v>2020</v>
      </c>
      <c r="B112" s="276">
        <v>11</v>
      </c>
      <c r="C112" s="280">
        <v>31</v>
      </c>
      <c r="D112" s="277">
        <f>C112/SUM(C102:C113)</f>
        <v>8.4699453551912565E-2</v>
      </c>
      <c r="F112" s="279">
        <f t="shared" si="10"/>
        <v>31728.1354385782</v>
      </c>
      <c r="H112" s="278"/>
    </row>
    <row r="113" spans="1:8" x14ac:dyDescent="0.25">
      <c r="A113" s="276">
        <v>2020</v>
      </c>
      <c r="B113" s="276">
        <v>12</v>
      </c>
      <c r="C113" s="280">
        <v>30</v>
      </c>
      <c r="D113" s="277">
        <f>C113/SUM(C102:C113)</f>
        <v>8.1967213114754092E-2</v>
      </c>
      <c r="E113" s="275">
        <f>+FORECAST!F16</f>
        <v>374596.69582321361</v>
      </c>
      <c r="F113" s="279">
        <f t="shared" si="10"/>
        <v>30704.647198624065</v>
      </c>
      <c r="H113" s="278"/>
    </row>
    <row r="114" spans="1:8" x14ac:dyDescent="0.25">
      <c r="A114" s="276">
        <f t="shared" ref="A114:A177" si="11">A102+1</f>
        <v>2021</v>
      </c>
      <c r="B114" s="276">
        <f t="shared" ref="B114:C129" si="12">B102</f>
        <v>1</v>
      </c>
      <c r="C114" s="276">
        <f t="shared" si="12"/>
        <v>31</v>
      </c>
      <c r="D114" s="277">
        <f>C114/SUM(C114:C125)</f>
        <v>8.4699453551912565E-2</v>
      </c>
      <c r="F114" s="279">
        <f t="shared" ref="F114:F125" si="13">E$125*D114</f>
        <v>41247.479736321555</v>
      </c>
      <c r="H114" s="278"/>
    </row>
    <row r="115" spans="1:8" x14ac:dyDescent="0.25">
      <c r="A115" s="276">
        <f t="shared" si="11"/>
        <v>2021</v>
      </c>
      <c r="B115" s="276">
        <f t="shared" si="12"/>
        <v>2</v>
      </c>
      <c r="C115" s="276">
        <f t="shared" si="12"/>
        <v>29</v>
      </c>
      <c r="D115" s="277">
        <f>C115/SUM(C114:C125)</f>
        <v>7.9234972677595633E-2</v>
      </c>
      <c r="F115" s="279">
        <f t="shared" si="13"/>
        <v>38586.35201139759</v>
      </c>
      <c r="H115" s="278"/>
    </row>
    <row r="116" spans="1:8" x14ac:dyDescent="0.25">
      <c r="A116" s="276">
        <f t="shared" si="11"/>
        <v>2021</v>
      </c>
      <c r="B116" s="276">
        <f t="shared" si="12"/>
        <v>3</v>
      </c>
      <c r="C116" s="276">
        <f t="shared" si="12"/>
        <v>31</v>
      </c>
      <c r="D116" s="277">
        <f>C116/SUM(C114:C125)</f>
        <v>8.4699453551912565E-2</v>
      </c>
      <c r="F116" s="279">
        <f t="shared" si="13"/>
        <v>41247.479736321555</v>
      </c>
      <c r="H116" s="278"/>
    </row>
    <row r="117" spans="1:8" x14ac:dyDescent="0.25">
      <c r="A117" s="276">
        <f t="shared" si="11"/>
        <v>2021</v>
      </c>
      <c r="B117" s="276">
        <f t="shared" si="12"/>
        <v>4</v>
      </c>
      <c r="C117" s="276">
        <f t="shared" si="12"/>
        <v>31</v>
      </c>
      <c r="D117" s="277">
        <f>C117/SUM(C114:C125)</f>
        <v>8.4699453551912565E-2</v>
      </c>
      <c r="F117" s="279">
        <f t="shared" si="13"/>
        <v>41247.479736321555</v>
      </c>
      <c r="H117" s="278"/>
    </row>
    <row r="118" spans="1:8" x14ac:dyDescent="0.25">
      <c r="A118" s="276">
        <f t="shared" si="11"/>
        <v>2021</v>
      </c>
      <c r="B118" s="276">
        <f t="shared" si="12"/>
        <v>5</v>
      </c>
      <c r="C118" s="276">
        <f t="shared" si="12"/>
        <v>30</v>
      </c>
      <c r="D118" s="277">
        <f>C118/SUM(C114:C125)</f>
        <v>8.1967213114754092E-2</v>
      </c>
      <c r="F118" s="279">
        <f t="shared" si="13"/>
        <v>39916.915873859572</v>
      </c>
      <c r="H118" s="278"/>
    </row>
    <row r="119" spans="1:8" x14ac:dyDescent="0.25">
      <c r="A119" s="276">
        <f t="shared" si="11"/>
        <v>2021</v>
      </c>
      <c r="B119" s="276">
        <f t="shared" si="12"/>
        <v>6</v>
      </c>
      <c r="C119" s="276">
        <f t="shared" si="12"/>
        <v>31</v>
      </c>
      <c r="D119" s="277">
        <f>C119/SUM(C114:C125)</f>
        <v>8.4699453551912565E-2</v>
      </c>
      <c r="F119" s="279">
        <f t="shared" si="13"/>
        <v>41247.479736321555</v>
      </c>
      <c r="H119" s="278"/>
    </row>
    <row r="120" spans="1:8" x14ac:dyDescent="0.25">
      <c r="A120" s="276">
        <f t="shared" si="11"/>
        <v>2021</v>
      </c>
      <c r="B120" s="276">
        <f t="shared" si="12"/>
        <v>7</v>
      </c>
      <c r="C120" s="276">
        <f t="shared" si="12"/>
        <v>30</v>
      </c>
      <c r="D120" s="277">
        <f>C120/SUM(C114:C125)</f>
        <v>8.1967213114754092E-2</v>
      </c>
      <c r="F120" s="279">
        <f t="shared" si="13"/>
        <v>39916.915873859572</v>
      </c>
      <c r="H120" s="278"/>
    </row>
    <row r="121" spans="1:8" x14ac:dyDescent="0.25">
      <c r="A121" s="276">
        <f t="shared" si="11"/>
        <v>2021</v>
      </c>
      <c r="B121" s="276">
        <f t="shared" si="12"/>
        <v>8</v>
      </c>
      <c r="C121" s="276">
        <f t="shared" si="12"/>
        <v>31</v>
      </c>
      <c r="D121" s="277">
        <f>C121/SUM(C114:C125)</f>
        <v>8.4699453551912565E-2</v>
      </c>
      <c r="F121" s="279">
        <f t="shared" si="13"/>
        <v>41247.479736321555</v>
      </c>
      <c r="H121" s="278"/>
    </row>
    <row r="122" spans="1:8" x14ac:dyDescent="0.25">
      <c r="A122" s="276">
        <f t="shared" si="11"/>
        <v>2021</v>
      </c>
      <c r="B122" s="276">
        <f t="shared" si="12"/>
        <v>9</v>
      </c>
      <c r="C122" s="276">
        <f t="shared" si="12"/>
        <v>31</v>
      </c>
      <c r="D122" s="277">
        <f>C122/SUM(C114:C125)</f>
        <v>8.4699453551912565E-2</v>
      </c>
      <c r="F122" s="279">
        <f t="shared" si="13"/>
        <v>41247.479736321555</v>
      </c>
      <c r="H122" s="278"/>
    </row>
    <row r="123" spans="1:8" x14ac:dyDescent="0.25">
      <c r="A123" s="276">
        <f t="shared" si="11"/>
        <v>2021</v>
      </c>
      <c r="B123" s="276">
        <f t="shared" si="12"/>
        <v>10</v>
      </c>
      <c r="C123" s="276">
        <f t="shared" si="12"/>
        <v>30</v>
      </c>
      <c r="D123" s="277">
        <f>C123/SUM(C114:C125)</f>
        <v>8.1967213114754092E-2</v>
      </c>
      <c r="F123" s="279">
        <f t="shared" si="13"/>
        <v>39916.915873859572</v>
      </c>
      <c r="H123" s="278"/>
    </row>
    <row r="124" spans="1:8" x14ac:dyDescent="0.25">
      <c r="A124" s="276">
        <f t="shared" si="11"/>
        <v>2021</v>
      </c>
      <c r="B124" s="276">
        <f t="shared" si="12"/>
        <v>11</v>
      </c>
      <c r="C124" s="276">
        <f t="shared" si="12"/>
        <v>31</v>
      </c>
      <c r="D124" s="277">
        <f>C124/SUM(C114:C125)</f>
        <v>8.4699453551912565E-2</v>
      </c>
      <c r="F124" s="279">
        <f t="shared" si="13"/>
        <v>41247.479736321555</v>
      </c>
      <c r="H124" s="278"/>
    </row>
    <row r="125" spans="1:8" x14ac:dyDescent="0.25">
      <c r="A125" s="276">
        <f t="shared" si="11"/>
        <v>2021</v>
      </c>
      <c r="B125" s="276">
        <f t="shared" si="12"/>
        <v>12</v>
      </c>
      <c r="C125" s="276">
        <f t="shared" si="12"/>
        <v>30</v>
      </c>
      <c r="D125" s="277">
        <f>C125/SUM(C114:C125)</f>
        <v>8.1967213114754092E-2</v>
      </c>
      <c r="E125" s="275">
        <f>+FORECAST!F17</f>
        <v>486986.37366108678</v>
      </c>
      <c r="F125" s="279">
        <f t="shared" si="13"/>
        <v>39916.915873859572</v>
      </c>
      <c r="H125" s="278"/>
    </row>
    <row r="126" spans="1:8" x14ac:dyDescent="0.25">
      <c r="A126" s="276">
        <f t="shared" si="11"/>
        <v>2022</v>
      </c>
      <c r="B126" s="276">
        <f t="shared" si="12"/>
        <v>1</v>
      </c>
      <c r="C126" s="276">
        <f t="shared" si="12"/>
        <v>31</v>
      </c>
      <c r="D126" s="277">
        <f>C126/SUM(C126:C137)</f>
        <v>8.4699453551912565E-2</v>
      </c>
      <c r="F126" s="279">
        <f t="shared" ref="F126:F137" si="14">E$137*D126</f>
        <v>51560.855780685109</v>
      </c>
      <c r="H126" s="278"/>
    </row>
    <row r="127" spans="1:8" x14ac:dyDescent="0.25">
      <c r="A127" s="276">
        <f t="shared" si="11"/>
        <v>2022</v>
      </c>
      <c r="B127" s="276">
        <f t="shared" si="12"/>
        <v>2</v>
      </c>
      <c r="C127" s="276">
        <f t="shared" si="12"/>
        <v>29</v>
      </c>
      <c r="D127" s="277">
        <f>C127/SUM(C126:C137)</f>
        <v>7.9234972677595633E-2</v>
      </c>
      <c r="F127" s="279">
        <f t="shared" si="14"/>
        <v>48234.348956124784</v>
      </c>
      <c r="H127" s="278"/>
    </row>
    <row r="128" spans="1:8" x14ac:dyDescent="0.25">
      <c r="A128" s="276">
        <f t="shared" si="11"/>
        <v>2022</v>
      </c>
      <c r="B128" s="276">
        <f t="shared" si="12"/>
        <v>3</v>
      </c>
      <c r="C128" s="276">
        <f t="shared" si="12"/>
        <v>31</v>
      </c>
      <c r="D128" s="277">
        <f>C128/SUM(C126:C137)</f>
        <v>8.4699453551912565E-2</v>
      </c>
      <c r="F128" s="279">
        <f t="shared" si="14"/>
        <v>51560.855780685109</v>
      </c>
      <c r="H128" s="278"/>
    </row>
    <row r="129" spans="1:8" x14ac:dyDescent="0.25">
      <c r="A129" s="276">
        <f t="shared" si="11"/>
        <v>2022</v>
      </c>
      <c r="B129" s="276">
        <f t="shared" si="12"/>
        <v>4</v>
      </c>
      <c r="C129" s="276">
        <f t="shared" si="12"/>
        <v>31</v>
      </c>
      <c r="D129" s="277">
        <f>C129/SUM(C126:C137)</f>
        <v>8.4699453551912565E-2</v>
      </c>
      <c r="F129" s="279">
        <f t="shared" si="14"/>
        <v>51560.855780685109</v>
      </c>
      <c r="H129" s="278"/>
    </row>
    <row r="130" spans="1:8" x14ac:dyDescent="0.25">
      <c r="A130" s="276">
        <f t="shared" si="11"/>
        <v>2022</v>
      </c>
      <c r="B130" s="276">
        <f t="shared" ref="B130:C145" si="15">B118</f>
        <v>5</v>
      </c>
      <c r="C130" s="276">
        <f t="shared" si="15"/>
        <v>30</v>
      </c>
      <c r="D130" s="277">
        <f>C130/SUM(C126:C137)</f>
        <v>8.1967213114754092E-2</v>
      </c>
      <c r="F130" s="279">
        <f t="shared" si="14"/>
        <v>49897.602368404943</v>
      </c>
      <c r="H130" s="278"/>
    </row>
    <row r="131" spans="1:8" x14ac:dyDescent="0.25">
      <c r="A131" s="276">
        <f t="shared" si="11"/>
        <v>2022</v>
      </c>
      <c r="B131" s="276">
        <f t="shared" si="15"/>
        <v>6</v>
      </c>
      <c r="C131" s="276">
        <f t="shared" si="15"/>
        <v>31</v>
      </c>
      <c r="D131" s="277">
        <f>C131/SUM(C126:C137)</f>
        <v>8.4699453551912565E-2</v>
      </c>
      <c r="F131" s="279">
        <f t="shared" si="14"/>
        <v>51560.855780685109</v>
      </c>
      <c r="H131" s="278"/>
    </row>
    <row r="132" spans="1:8" x14ac:dyDescent="0.25">
      <c r="A132" s="276">
        <f t="shared" si="11"/>
        <v>2022</v>
      </c>
      <c r="B132" s="276">
        <f t="shared" si="15"/>
        <v>7</v>
      </c>
      <c r="C132" s="276">
        <f t="shared" si="15"/>
        <v>30</v>
      </c>
      <c r="D132" s="277">
        <f>C132/SUM(C126:C137)</f>
        <v>8.1967213114754092E-2</v>
      </c>
      <c r="F132" s="279">
        <f t="shared" si="14"/>
        <v>49897.602368404943</v>
      </c>
      <c r="H132" s="278"/>
    </row>
    <row r="133" spans="1:8" x14ac:dyDescent="0.25">
      <c r="A133" s="276">
        <f t="shared" si="11"/>
        <v>2022</v>
      </c>
      <c r="B133" s="276">
        <f t="shared" si="15"/>
        <v>8</v>
      </c>
      <c r="C133" s="276">
        <f t="shared" si="15"/>
        <v>31</v>
      </c>
      <c r="D133" s="277">
        <f>C133/SUM(C126:C137)</f>
        <v>8.4699453551912565E-2</v>
      </c>
      <c r="F133" s="279">
        <f t="shared" si="14"/>
        <v>51560.855780685109</v>
      </c>
      <c r="H133" s="278"/>
    </row>
    <row r="134" spans="1:8" x14ac:dyDescent="0.25">
      <c r="A134" s="276">
        <f t="shared" si="11"/>
        <v>2022</v>
      </c>
      <c r="B134" s="276">
        <f t="shared" si="15"/>
        <v>9</v>
      </c>
      <c r="C134" s="276">
        <f t="shared" si="15"/>
        <v>31</v>
      </c>
      <c r="D134" s="277">
        <f>C134/SUM(C126:C137)</f>
        <v>8.4699453551912565E-2</v>
      </c>
      <c r="F134" s="279">
        <f t="shared" si="14"/>
        <v>51560.855780685109</v>
      </c>
      <c r="H134" s="278"/>
    </row>
    <row r="135" spans="1:8" x14ac:dyDescent="0.25">
      <c r="A135" s="276">
        <f t="shared" si="11"/>
        <v>2022</v>
      </c>
      <c r="B135" s="276">
        <f t="shared" si="15"/>
        <v>10</v>
      </c>
      <c r="C135" s="276">
        <f t="shared" si="15"/>
        <v>30</v>
      </c>
      <c r="D135" s="277">
        <f>C135/SUM(C126:C137)</f>
        <v>8.1967213114754092E-2</v>
      </c>
      <c r="F135" s="279">
        <f t="shared" si="14"/>
        <v>49897.602368404943</v>
      </c>
      <c r="H135" s="278"/>
    </row>
    <row r="136" spans="1:8" x14ac:dyDescent="0.25">
      <c r="A136" s="276">
        <f t="shared" si="11"/>
        <v>2022</v>
      </c>
      <c r="B136" s="276">
        <f t="shared" si="15"/>
        <v>11</v>
      </c>
      <c r="C136" s="276">
        <f t="shared" si="15"/>
        <v>31</v>
      </c>
      <c r="D136" s="277">
        <f>C136/SUM(C126:C137)</f>
        <v>8.4699453551912565E-2</v>
      </c>
      <c r="F136" s="279">
        <f t="shared" si="14"/>
        <v>51560.855780685109</v>
      </c>
      <c r="H136" s="278"/>
    </row>
    <row r="137" spans="1:8" x14ac:dyDescent="0.25">
      <c r="A137" s="276">
        <f t="shared" si="11"/>
        <v>2022</v>
      </c>
      <c r="B137" s="276">
        <f t="shared" si="15"/>
        <v>12</v>
      </c>
      <c r="C137" s="276">
        <f t="shared" si="15"/>
        <v>30</v>
      </c>
      <c r="D137" s="277">
        <f>C137/SUM(C126:C137)</f>
        <v>8.1967213114754092E-2</v>
      </c>
      <c r="E137" s="275">
        <f>+FORECAST!F18</f>
        <v>608750.74889454036</v>
      </c>
      <c r="F137" s="279">
        <f t="shared" si="14"/>
        <v>49897.602368404943</v>
      </c>
      <c r="H137" s="278"/>
    </row>
    <row r="138" spans="1:8" x14ac:dyDescent="0.25">
      <c r="A138" s="276">
        <f t="shared" si="11"/>
        <v>2023</v>
      </c>
      <c r="B138" s="276">
        <f t="shared" si="15"/>
        <v>1</v>
      </c>
      <c r="C138" s="276">
        <f t="shared" si="15"/>
        <v>31</v>
      </c>
      <c r="D138" s="277">
        <f>C138/SUM(C138:C149)</f>
        <v>8.4699453551912565E-2</v>
      </c>
      <c r="F138" s="279">
        <f t="shared" ref="F138:F149" si="16">E$149*D138</f>
        <v>63936.304589808096</v>
      </c>
      <c r="H138" s="278"/>
    </row>
    <row r="139" spans="1:8" x14ac:dyDescent="0.25">
      <c r="A139" s="276">
        <f t="shared" si="11"/>
        <v>2023</v>
      </c>
      <c r="B139" s="276">
        <f t="shared" si="15"/>
        <v>2</v>
      </c>
      <c r="C139" s="276">
        <f t="shared" si="15"/>
        <v>29</v>
      </c>
      <c r="D139" s="277">
        <f>C139/SUM(C138:C149)</f>
        <v>7.9234972677595633E-2</v>
      </c>
      <c r="F139" s="279">
        <f t="shared" si="16"/>
        <v>59811.381713046285</v>
      </c>
      <c r="H139" s="278"/>
    </row>
    <row r="140" spans="1:8" x14ac:dyDescent="0.25">
      <c r="A140" s="276">
        <f t="shared" si="11"/>
        <v>2023</v>
      </c>
      <c r="B140" s="276">
        <f t="shared" si="15"/>
        <v>3</v>
      </c>
      <c r="C140" s="276">
        <f t="shared" si="15"/>
        <v>31</v>
      </c>
      <c r="D140" s="277">
        <f>C140/SUM(C138:C149)</f>
        <v>8.4699453551912565E-2</v>
      </c>
      <c r="F140" s="279">
        <f t="shared" si="16"/>
        <v>63936.304589808096</v>
      </c>
      <c r="H140" s="278"/>
    </row>
    <row r="141" spans="1:8" x14ac:dyDescent="0.25">
      <c r="A141" s="276">
        <f t="shared" si="11"/>
        <v>2023</v>
      </c>
      <c r="B141" s="276">
        <f t="shared" si="15"/>
        <v>4</v>
      </c>
      <c r="C141" s="276">
        <f t="shared" si="15"/>
        <v>31</v>
      </c>
      <c r="D141" s="277">
        <f>C141/SUM(C138:C149)</f>
        <v>8.4699453551912565E-2</v>
      </c>
      <c r="F141" s="279">
        <f t="shared" si="16"/>
        <v>63936.304589808096</v>
      </c>
      <c r="H141" s="278"/>
    </row>
    <row r="142" spans="1:8" x14ac:dyDescent="0.25">
      <c r="A142" s="276">
        <f t="shared" si="11"/>
        <v>2023</v>
      </c>
      <c r="B142" s="276">
        <f t="shared" si="15"/>
        <v>5</v>
      </c>
      <c r="C142" s="276">
        <f t="shared" si="15"/>
        <v>30</v>
      </c>
      <c r="D142" s="277">
        <f>C142/SUM(C138:C149)</f>
        <v>8.1967213114754092E-2</v>
      </c>
      <c r="F142" s="279">
        <f t="shared" si="16"/>
        <v>61873.843151427187</v>
      </c>
      <c r="H142" s="278"/>
    </row>
    <row r="143" spans="1:8" x14ac:dyDescent="0.25">
      <c r="A143" s="276">
        <f t="shared" si="11"/>
        <v>2023</v>
      </c>
      <c r="B143" s="276">
        <f t="shared" si="15"/>
        <v>6</v>
      </c>
      <c r="C143" s="276">
        <f t="shared" si="15"/>
        <v>31</v>
      </c>
      <c r="D143" s="277">
        <f>C143/SUM(C138:C149)</f>
        <v>8.4699453551912565E-2</v>
      </c>
      <c r="F143" s="279">
        <f t="shared" si="16"/>
        <v>63936.304589808096</v>
      </c>
      <c r="H143" s="278"/>
    </row>
    <row r="144" spans="1:8" x14ac:dyDescent="0.25">
      <c r="A144" s="276">
        <f t="shared" si="11"/>
        <v>2023</v>
      </c>
      <c r="B144" s="276">
        <f t="shared" si="15"/>
        <v>7</v>
      </c>
      <c r="C144" s="276">
        <f t="shared" si="15"/>
        <v>30</v>
      </c>
      <c r="D144" s="277">
        <f>C144/SUM(C138:C149)</f>
        <v>8.1967213114754092E-2</v>
      </c>
      <c r="F144" s="279">
        <f t="shared" si="16"/>
        <v>61873.843151427187</v>
      </c>
      <c r="H144" s="278"/>
    </row>
    <row r="145" spans="1:8" x14ac:dyDescent="0.25">
      <c r="A145" s="276">
        <f t="shared" si="11"/>
        <v>2023</v>
      </c>
      <c r="B145" s="276">
        <f t="shared" si="15"/>
        <v>8</v>
      </c>
      <c r="C145" s="276">
        <f t="shared" si="15"/>
        <v>31</v>
      </c>
      <c r="D145" s="277">
        <f>C145/SUM(C138:C149)</f>
        <v>8.4699453551912565E-2</v>
      </c>
      <c r="F145" s="279">
        <f t="shared" si="16"/>
        <v>63936.304589808096</v>
      </c>
      <c r="H145" s="278"/>
    </row>
    <row r="146" spans="1:8" x14ac:dyDescent="0.25">
      <c r="A146" s="276">
        <f t="shared" si="11"/>
        <v>2023</v>
      </c>
      <c r="B146" s="276">
        <f t="shared" ref="B146:C161" si="17">B134</f>
        <v>9</v>
      </c>
      <c r="C146" s="276">
        <f t="shared" si="17"/>
        <v>31</v>
      </c>
      <c r="D146" s="277">
        <f>C146/SUM(C138:C149)</f>
        <v>8.4699453551912565E-2</v>
      </c>
      <c r="F146" s="279">
        <f t="shared" si="16"/>
        <v>63936.304589808096</v>
      </c>
      <c r="H146" s="278"/>
    </row>
    <row r="147" spans="1:8" x14ac:dyDescent="0.25">
      <c r="A147" s="276">
        <f t="shared" si="11"/>
        <v>2023</v>
      </c>
      <c r="B147" s="276">
        <f t="shared" si="17"/>
        <v>10</v>
      </c>
      <c r="C147" s="276">
        <f t="shared" si="17"/>
        <v>30</v>
      </c>
      <c r="D147" s="277">
        <f>C147/SUM(C138:C149)</f>
        <v>8.1967213114754092E-2</v>
      </c>
      <c r="F147" s="279">
        <f t="shared" si="16"/>
        <v>61873.843151427187</v>
      </c>
      <c r="H147" s="278"/>
    </row>
    <row r="148" spans="1:8" x14ac:dyDescent="0.25">
      <c r="A148" s="276">
        <f t="shared" si="11"/>
        <v>2023</v>
      </c>
      <c r="B148" s="276">
        <f t="shared" si="17"/>
        <v>11</v>
      </c>
      <c r="C148" s="276">
        <f t="shared" si="17"/>
        <v>31</v>
      </c>
      <c r="D148" s="277">
        <f>C148/SUM(C138:C149)</f>
        <v>8.4699453551912565E-2</v>
      </c>
      <c r="F148" s="279">
        <f t="shared" si="16"/>
        <v>63936.304589808096</v>
      </c>
      <c r="H148" s="278"/>
    </row>
    <row r="149" spans="1:8" x14ac:dyDescent="0.25">
      <c r="A149" s="276">
        <f t="shared" si="11"/>
        <v>2023</v>
      </c>
      <c r="B149" s="276">
        <f t="shared" si="17"/>
        <v>12</v>
      </c>
      <c r="C149" s="276">
        <f t="shared" si="17"/>
        <v>30</v>
      </c>
      <c r="D149" s="277">
        <f>C149/SUM(C138:C149)</f>
        <v>8.1967213114754092E-2</v>
      </c>
      <c r="E149" s="275">
        <f>+FORECAST!F19</f>
        <v>754860.88644741173</v>
      </c>
      <c r="F149" s="279">
        <f t="shared" si="16"/>
        <v>61873.843151427187</v>
      </c>
      <c r="H149" s="278"/>
    </row>
    <row r="150" spans="1:8" x14ac:dyDescent="0.25">
      <c r="A150" s="276">
        <f t="shared" si="11"/>
        <v>2024</v>
      </c>
      <c r="B150" s="276">
        <f t="shared" si="17"/>
        <v>1</v>
      </c>
      <c r="C150" s="276">
        <f t="shared" si="17"/>
        <v>31</v>
      </c>
      <c r="D150" s="277">
        <f>C150/SUM(C150:C161)</f>
        <v>8.4699453551912565E-2</v>
      </c>
      <c r="F150" s="279">
        <f t="shared" ref="F150:F161" si="18">E$161*D150</f>
        <v>79917.368516693794</v>
      </c>
      <c r="H150" s="278"/>
    </row>
    <row r="151" spans="1:8" x14ac:dyDescent="0.25">
      <c r="A151" s="276">
        <f t="shared" si="11"/>
        <v>2024</v>
      </c>
      <c r="B151" s="276">
        <f t="shared" si="17"/>
        <v>2</v>
      </c>
      <c r="C151" s="276">
        <f t="shared" si="17"/>
        <v>29</v>
      </c>
      <c r="D151" s="277">
        <f>C151/SUM(C150:C161)</f>
        <v>7.9234972677595633E-2</v>
      </c>
      <c r="F151" s="279">
        <f t="shared" si="18"/>
        <v>74761.409257552266</v>
      </c>
      <c r="H151" s="278"/>
    </row>
    <row r="152" spans="1:8" x14ac:dyDescent="0.25">
      <c r="A152" s="276">
        <f t="shared" si="11"/>
        <v>2024</v>
      </c>
      <c r="B152" s="276">
        <f t="shared" si="17"/>
        <v>3</v>
      </c>
      <c r="C152" s="276">
        <f t="shared" si="17"/>
        <v>31</v>
      </c>
      <c r="D152" s="277">
        <f>C152/SUM(C150:C161)</f>
        <v>8.4699453551912565E-2</v>
      </c>
      <c r="F152" s="279">
        <f t="shared" si="18"/>
        <v>79917.368516693794</v>
      </c>
      <c r="H152" s="278"/>
    </row>
    <row r="153" spans="1:8" x14ac:dyDescent="0.25">
      <c r="A153" s="276">
        <f t="shared" si="11"/>
        <v>2024</v>
      </c>
      <c r="B153" s="276">
        <f t="shared" si="17"/>
        <v>4</v>
      </c>
      <c r="C153" s="276">
        <f t="shared" si="17"/>
        <v>31</v>
      </c>
      <c r="D153" s="277">
        <f>C153/SUM(C150:C161)</f>
        <v>8.4699453551912565E-2</v>
      </c>
      <c r="F153" s="279">
        <f t="shared" si="18"/>
        <v>79917.368516693794</v>
      </c>
      <c r="H153" s="278"/>
    </row>
    <row r="154" spans="1:8" x14ac:dyDescent="0.25">
      <c r="A154" s="276">
        <f t="shared" si="11"/>
        <v>2024</v>
      </c>
      <c r="B154" s="276">
        <f t="shared" si="17"/>
        <v>5</v>
      </c>
      <c r="C154" s="276">
        <f t="shared" si="17"/>
        <v>30</v>
      </c>
      <c r="D154" s="277">
        <f>C154/SUM(C150:C161)</f>
        <v>8.1967213114754092E-2</v>
      </c>
      <c r="F154" s="279">
        <f t="shared" si="18"/>
        <v>77339.38888712303</v>
      </c>
      <c r="H154" s="278"/>
    </row>
    <row r="155" spans="1:8" x14ac:dyDescent="0.25">
      <c r="A155" s="276">
        <f t="shared" si="11"/>
        <v>2024</v>
      </c>
      <c r="B155" s="276">
        <f t="shared" si="17"/>
        <v>6</v>
      </c>
      <c r="C155" s="276">
        <f t="shared" si="17"/>
        <v>31</v>
      </c>
      <c r="D155" s="277">
        <f>C155/SUM(C150:C161)</f>
        <v>8.4699453551912565E-2</v>
      </c>
      <c r="F155" s="279">
        <f t="shared" si="18"/>
        <v>79917.368516693794</v>
      </c>
      <c r="H155" s="278"/>
    </row>
    <row r="156" spans="1:8" x14ac:dyDescent="0.25">
      <c r="A156" s="276">
        <f t="shared" si="11"/>
        <v>2024</v>
      </c>
      <c r="B156" s="276">
        <f t="shared" si="17"/>
        <v>7</v>
      </c>
      <c r="C156" s="276">
        <f t="shared" si="17"/>
        <v>30</v>
      </c>
      <c r="D156" s="277">
        <f>C156/SUM(C150:C161)</f>
        <v>8.1967213114754092E-2</v>
      </c>
      <c r="F156" s="279">
        <f t="shared" si="18"/>
        <v>77339.38888712303</v>
      </c>
      <c r="H156" s="278"/>
    </row>
    <row r="157" spans="1:8" x14ac:dyDescent="0.25">
      <c r="A157" s="276">
        <f t="shared" si="11"/>
        <v>2024</v>
      </c>
      <c r="B157" s="276">
        <f t="shared" si="17"/>
        <v>8</v>
      </c>
      <c r="C157" s="276">
        <f t="shared" si="17"/>
        <v>31</v>
      </c>
      <c r="D157" s="277">
        <f>C157/SUM(C150:C161)</f>
        <v>8.4699453551912565E-2</v>
      </c>
      <c r="F157" s="279">
        <f t="shared" si="18"/>
        <v>79917.368516693794</v>
      </c>
      <c r="H157" s="278"/>
    </row>
    <row r="158" spans="1:8" x14ac:dyDescent="0.25">
      <c r="A158" s="276">
        <f t="shared" si="11"/>
        <v>2024</v>
      </c>
      <c r="B158" s="276">
        <f t="shared" si="17"/>
        <v>9</v>
      </c>
      <c r="C158" s="276">
        <f t="shared" si="17"/>
        <v>31</v>
      </c>
      <c r="D158" s="277">
        <f>C158/SUM(C150:C161)</f>
        <v>8.4699453551912565E-2</v>
      </c>
      <c r="F158" s="279">
        <f t="shared" si="18"/>
        <v>79917.368516693794</v>
      </c>
      <c r="H158" s="278"/>
    </row>
    <row r="159" spans="1:8" x14ac:dyDescent="0.25">
      <c r="A159" s="276">
        <f t="shared" si="11"/>
        <v>2024</v>
      </c>
      <c r="B159" s="276">
        <f t="shared" si="17"/>
        <v>10</v>
      </c>
      <c r="C159" s="276">
        <f t="shared" si="17"/>
        <v>30</v>
      </c>
      <c r="D159" s="277">
        <f>C159/SUM(C150:C161)</f>
        <v>8.1967213114754092E-2</v>
      </c>
      <c r="F159" s="279">
        <f t="shared" si="18"/>
        <v>77339.38888712303</v>
      </c>
      <c r="H159" s="278"/>
    </row>
    <row r="160" spans="1:8" x14ac:dyDescent="0.25">
      <c r="A160" s="276">
        <f t="shared" si="11"/>
        <v>2024</v>
      </c>
      <c r="B160" s="276">
        <f t="shared" si="17"/>
        <v>11</v>
      </c>
      <c r="C160" s="276">
        <f t="shared" si="17"/>
        <v>31</v>
      </c>
      <c r="D160" s="277">
        <f>C160/SUM(C150:C161)</f>
        <v>8.4699453551912565E-2</v>
      </c>
      <c r="F160" s="279">
        <f t="shared" si="18"/>
        <v>79917.368516693794</v>
      </c>
      <c r="H160" s="278"/>
    </row>
    <row r="161" spans="1:8" x14ac:dyDescent="0.25">
      <c r="A161" s="276">
        <f t="shared" si="11"/>
        <v>2024</v>
      </c>
      <c r="B161" s="276">
        <f t="shared" si="17"/>
        <v>12</v>
      </c>
      <c r="C161" s="276">
        <f t="shared" si="17"/>
        <v>30</v>
      </c>
      <c r="D161" s="277">
        <f>C161/SUM(C150:C161)</f>
        <v>8.1967213114754092E-2</v>
      </c>
      <c r="E161" s="275">
        <f>+FORECAST!F20</f>
        <v>943540.544422901</v>
      </c>
      <c r="F161" s="279">
        <f t="shared" si="18"/>
        <v>77339.38888712303</v>
      </c>
      <c r="H161" s="278"/>
    </row>
    <row r="162" spans="1:8" x14ac:dyDescent="0.25">
      <c r="A162" s="276">
        <f t="shared" si="11"/>
        <v>2025</v>
      </c>
      <c r="B162" s="276">
        <f t="shared" ref="B162:C177" si="19">B150</f>
        <v>1</v>
      </c>
      <c r="C162" s="276">
        <f t="shared" si="19"/>
        <v>31</v>
      </c>
      <c r="D162" s="277">
        <f>C162/SUM(C162:C173)</f>
        <v>8.4699453551912565E-2</v>
      </c>
      <c r="F162" s="279">
        <f t="shared" ref="F162:F173" si="20">E$173*D162</f>
        <v>95901.444664145805</v>
      </c>
      <c r="H162" s="278"/>
    </row>
    <row r="163" spans="1:8" x14ac:dyDescent="0.25">
      <c r="A163" s="276">
        <f t="shared" si="11"/>
        <v>2025</v>
      </c>
      <c r="B163" s="276">
        <f t="shared" si="19"/>
        <v>2</v>
      </c>
      <c r="C163" s="276">
        <f t="shared" si="19"/>
        <v>29</v>
      </c>
      <c r="D163" s="277">
        <f>C163/SUM(C162:C173)</f>
        <v>7.9234972677595633E-2</v>
      </c>
      <c r="F163" s="279">
        <f t="shared" si="20"/>
        <v>89714.254685813823</v>
      </c>
      <c r="H163" s="278"/>
    </row>
    <row r="164" spans="1:8" x14ac:dyDescent="0.25">
      <c r="A164" s="276">
        <f t="shared" si="11"/>
        <v>2025</v>
      </c>
      <c r="B164" s="276">
        <f t="shared" si="19"/>
        <v>3</v>
      </c>
      <c r="C164" s="276">
        <f t="shared" si="19"/>
        <v>31</v>
      </c>
      <c r="D164" s="277">
        <f>C164/SUM(C162:C173)</f>
        <v>8.4699453551912565E-2</v>
      </c>
      <c r="F164" s="279">
        <f t="shared" si="20"/>
        <v>95901.444664145805</v>
      </c>
      <c r="H164" s="278"/>
    </row>
    <row r="165" spans="1:8" x14ac:dyDescent="0.25">
      <c r="A165" s="276">
        <f t="shared" si="11"/>
        <v>2025</v>
      </c>
      <c r="B165" s="276">
        <f t="shared" si="19"/>
        <v>4</v>
      </c>
      <c r="C165" s="276">
        <f t="shared" si="19"/>
        <v>31</v>
      </c>
      <c r="D165" s="277">
        <f>C165/SUM(C162:C173)</f>
        <v>8.4699453551912565E-2</v>
      </c>
      <c r="F165" s="279">
        <f t="shared" si="20"/>
        <v>95901.444664145805</v>
      </c>
      <c r="H165" s="278"/>
    </row>
    <row r="166" spans="1:8" x14ac:dyDescent="0.25">
      <c r="A166" s="276">
        <f t="shared" si="11"/>
        <v>2025</v>
      </c>
      <c r="B166" s="276">
        <f t="shared" si="19"/>
        <v>5</v>
      </c>
      <c r="C166" s="276">
        <f t="shared" si="19"/>
        <v>30</v>
      </c>
      <c r="D166" s="277">
        <f>C166/SUM(C162:C173)</f>
        <v>8.1967213114754092E-2</v>
      </c>
      <c r="F166" s="279">
        <f t="shared" si="20"/>
        <v>92807.849674979807</v>
      </c>
      <c r="H166" s="278"/>
    </row>
    <row r="167" spans="1:8" x14ac:dyDescent="0.25">
      <c r="A167" s="276">
        <f t="shared" si="11"/>
        <v>2025</v>
      </c>
      <c r="B167" s="276">
        <f t="shared" si="19"/>
        <v>6</v>
      </c>
      <c r="C167" s="276">
        <f t="shared" si="19"/>
        <v>31</v>
      </c>
      <c r="D167" s="277">
        <f>C167/SUM(C162:C173)</f>
        <v>8.4699453551912565E-2</v>
      </c>
      <c r="F167" s="279">
        <f t="shared" si="20"/>
        <v>95901.444664145805</v>
      </c>
      <c r="H167" s="278"/>
    </row>
    <row r="168" spans="1:8" x14ac:dyDescent="0.25">
      <c r="A168" s="276">
        <f t="shared" si="11"/>
        <v>2025</v>
      </c>
      <c r="B168" s="276">
        <f t="shared" si="19"/>
        <v>7</v>
      </c>
      <c r="C168" s="276">
        <f t="shared" si="19"/>
        <v>30</v>
      </c>
      <c r="D168" s="277">
        <f>C168/SUM(C162:C173)</f>
        <v>8.1967213114754092E-2</v>
      </c>
      <c r="F168" s="279">
        <f t="shared" si="20"/>
        <v>92807.849674979807</v>
      </c>
      <c r="H168" s="278"/>
    </row>
    <row r="169" spans="1:8" x14ac:dyDescent="0.25">
      <c r="A169" s="276">
        <f t="shared" si="11"/>
        <v>2025</v>
      </c>
      <c r="B169" s="276">
        <f t="shared" si="19"/>
        <v>8</v>
      </c>
      <c r="C169" s="276">
        <f t="shared" si="19"/>
        <v>31</v>
      </c>
      <c r="D169" s="277">
        <f>C169/SUM(C162:C173)</f>
        <v>8.4699453551912565E-2</v>
      </c>
      <c r="F169" s="279">
        <f t="shared" si="20"/>
        <v>95901.444664145805</v>
      </c>
      <c r="H169" s="278"/>
    </row>
    <row r="170" spans="1:8" x14ac:dyDescent="0.25">
      <c r="A170" s="276">
        <f t="shared" si="11"/>
        <v>2025</v>
      </c>
      <c r="B170" s="276">
        <f t="shared" si="19"/>
        <v>9</v>
      </c>
      <c r="C170" s="276">
        <f t="shared" si="19"/>
        <v>31</v>
      </c>
      <c r="D170" s="277">
        <f>C170/SUM(C162:C173)</f>
        <v>8.4699453551912565E-2</v>
      </c>
      <c r="F170" s="279">
        <f t="shared" si="20"/>
        <v>95901.444664145805</v>
      </c>
      <c r="H170" s="278"/>
    </row>
    <row r="171" spans="1:8" x14ac:dyDescent="0.25">
      <c r="A171" s="276">
        <f t="shared" si="11"/>
        <v>2025</v>
      </c>
      <c r="B171" s="276">
        <f t="shared" si="19"/>
        <v>10</v>
      </c>
      <c r="C171" s="276">
        <f t="shared" si="19"/>
        <v>30</v>
      </c>
      <c r="D171" s="277">
        <f>C171/SUM(C162:C173)</f>
        <v>8.1967213114754092E-2</v>
      </c>
      <c r="F171" s="279">
        <f t="shared" si="20"/>
        <v>92807.849674979807</v>
      </c>
      <c r="H171" s="278"/>
    </row>
    <row r="172" spans="1:8" x14ac:dyDescent="0.25">
      <c r="A172" s="276">
        <f t="shared" si="11"/>
        <v>2025</v>
      </c>
      <c r="B172" s="276">
        <f t="shared" si="19"/>
        <v>11</v>
      </c>
      <c r="C172" s="276">
        <f t="shared" si="19"/>
        <v>31</v>
      </c>
      <c r="D172" s="277">
        <f>C172/SUM(C162:C173)</f>
        <v>8.4699453551912565E-2</v>
      </c>
      <c r="F172" s="279">
        <f t="shared" si="20"/>
        <v>95901.444664145805</v>
      </c>
      <c r="H172" s="278"/>
    </row>
    <row r="173" spans="1:8" x14ac:dyDescent="0.25">
      <c r="A173" s="276">
        <f t="shared" si="11"/>
        <v>2025</v>
      </c>
      <c r="B173" s="276">
        <f t="shared" si="19"/>
        <v>12</v>
      </c>
      <c r="C173" s="276">
        <f t="shared" si="19"/>
        <v>30</v>
      </c>
      <c r="D173" s="277">
        <f>C173/SUM(C162:C173)</f>
        <v>8.1967213114754092E-2</v>
      </c>
      <c r="E173" s="275">
        <f>+FORECAST!F21</f>
        <v>1132255.7660347538</v>
      </c>
      <c r="F173" s="279">
        <f t="shared" si="20"/>
        <v>92807.849674979807</v>
      </c>
      <c r="H173" s="278"/>
    </row>
    <row r="174" spans="1:8" x14ac:dyDescent="0.25">
      <c r="A174" s="276">
        <f t="shared" si="11"/>
        <v>2026</v>
      </c>
      <c r="B174" s="276">
        <f t="shared" si="19"/>
        <v>1</v>
      </c>
      <c r="C174" s="276">
        <f t="shared" si="19"/>
        <v>31</v>
      </c>
      <c r="D174" s="277">
        <f>C174/SUM(C174:C185)</f>
        <v>8.4699453551912565E-2</v>
      </c>
      <c r="F174" s="279">
        <f t="shared" ref="F174:F185" si="21">E$185*D174</f>
        <v>115081.73359697495</v>
      </c>
      <c r="H174" s="278"/>
    </row>
    <row r="175" spans="1:8" x14ac:dyDescent="0.25">
      <c r="A175" s="276">
        <f t="shared" si="11"/>
        <v>2026</v>
      </c>
      <c r="B175" s="276">
        <f t="shared" si="19"/>
        <v>2</v>
      </c>
      <c r="C175" s="276">
        <f t="shared" si="19"/>
        <v>29</v>
      </c>
      <c r="D175" s="277">
        <f>C175/SUM(C174:C185)</f>
        <v>7.9234972677595633E-2</v>
      </c>
      <c r="F175" s="279">
        <f t="shared" si="21"/>
        <v>107657.10562297658</v>
      </c>
      <c r="H175" s="278"/>
    </row>
    <row r="176" spans="1:8" x14ac:dyDescent="0.25">
      <c r="A176" s="276">
        <f t="shared" si="11"/>
        <v>2026</v>
      </c>
      <c r="B176" s="276">
        <f t="shared" si="19"/>
        <v>3</v>
      </c>
      <c r="C176" s="276">
        <f t="shared" si="19"/>
        <v>31</v>
      </c>
      <c r="D176" s="277">
        <f>C176/SUM(C174:C185)</f>
        <v>8.4699453551912565E-2</v>
      </c>
      <c r="F176" s="279">
        <f t="shared" si="21"/>
        <v>115081.73359697495</v>
      </c>
      <c r="H176" s="278"/>
    </row>
    <row r="177" spans="1:8" x14ac:dyDescent="0.25">
      <c r="A177" s="276">
        <f t="shared" si="11"/>
        <v>2026</v>
      </c>
      <c r="B177" s="276">
        <f t="shared" si="19"/>
        <v>4</v>
      </c>
      <c r="C177" s="276">
        <f t="shared" si="19"/>
        <v>31</v>
      </c>
      <c r="D177" s="277">
        <f>C177/SUM(C174:C185)</f>
        <v>8.4699453551912565E-2</v>
      </c>
      <c r="F177" s="279">
        <f t="shared" si="21"/>
        <v>115081.73359697495</v>
      </c>
      <c r="H177" s="278"/>
    </row>
    <row r="178" spans="1:8" x14ac:dyDescent="0.25">
      <c r="A178" s="276">
        <f t="shared" ref="A178:A233" si="22">A166+1</f>
        <v>2026</v>
      </c>
      <c r="B178" s="276">
        <f t="shared" ref="B178:C193" si="23">B166</f>
        <v>5</v>
      </c>
      <c r="C178" s="276">
        <f t="shared" si="23"/>
        <v>30</v>
      </c>
      <c r="D178" s="277">
        <f>C178/SUM(C174:C185)</f>
        <v>8.1967213114754092E-2</v>
      </c>
      <c r="F178" s="279">
        <f t="shared" si="21"/>
        <v>111369.41960997575</v>
      </c>
      <c r="H178" s="278"/>
    </row>
    <row r="179" spans="1:8" x14ac:dyDescent="0.25">
      <c r="A179" s="276">
        <f t="shared" si="22"/>
        <v>2026</v>
      </c>
      <c r="B179" s="276">
        <f t="shared" si="23"/>
        <v>6</v>
      </c>
      <c r="C179" s="276">
        <f t="shared" si="23"/>
        <v>31</v>
      </c>
      <c r="D179" s="277">
        <f>C179/SUM(C174:C185)</f>
        <v>8.4699453551912565E-2</v>
      </c>
      <c r="F179" s="279">
        <f t="shared" si="21"/>
        <v>115081.73359697495</v>
      </c>
      <c r="H179" s="278"/>
    </row>
    <row r="180" spans="1:8" x14ac:dyDescent="0.25">
      <c r="A180" s="276">
        <f t="shared" si="22"/>
        <v>2026</v>
      </c>
      <c r="B180" s="276">
        <f t="shared" si="23"/>
        <v>7</v>
      </c>
      <c r="C180" s="276">
        <f t="shared" si="23"/>
        <v>30</v>
      </c>
      <c r="D180" s="277">
        <f>C180/SUM(C174:C185)</f>
        <v>8.1967213114754092E-2</v>
      </c>
      <c r="F180" s="279">
        <f t="shared" si="21"/>
        <v>111369.41960997575</v>
      </c>
      <c r="H180" s="278"/>
    </row>
    <row r="181" spans="1:8" x14ac:dyDescent="0.25">
      <c r="A181" s="276">
        <f t="shared" si="22"/>
        <v>2026</v>
      </c>
      <c r="B181" s="276">
        <f t="shared" si="23"/>
        <v>8</v>
      </c>
      <c r="C181" s="276">
        <f t="shared" si="23"/>
        <v>31</v>
      </c>
      <c r="D181" s="277">
        <f>C181/SUM(C174:C185)</f>
        <v>8.4699453551912565E-2</v>
      </c>
      <c r="F181" s="279">
        <f t="shared" si="21"/>
        <v>115081.73359697495</v>
      </c>
      <c r="H181" s="278"/>
    </row>
    <row r="182" spans="1:8" x14ac:dyDescent="0.25">
      <c r="A182" s="276">
        <f t="shared" si="22"/>
        <v>2026</v>
      </c>
      <c r="B182" s="276">
        <f t="shared" si="23"/>
        <v>9</v>
      </c>
      <c r="C182" s="276">
        <f t="shared" si="23"/>
        <v>31</v>
      </c>
      <c r="D182" s="277">
        <f>C182/SUM(C174:C185)</f>
        <v>8.4699453551912565E-2</v>
      </c>
      <c r="F182" s="279">
        <f t="shared" si="21"/>
        <v>115081.73359697495</v>
      </c>
      <c r="H182" s="278"/>
    </row>
    <row r="183" spans="1:8" x14ac:dyDescent="0.25">
      <c r="A183" s="276">
        <f t="shared" si="22"/>
        <v>2026</v>
      </c>
      <c r="B183" s="276">
        <f t="shared" si="23"/>
        <v>10</v>
      </c>
      <c r="C183" s="276">
        <f t="shared" si="23"/>
        <v>30</v>
      </c>
      <c r="D183" s="277">
        <f>C183/SUM(C174:C185)</f>
        <v>8.1967213114754092E-2</v>
      </c>
      <c r="F183" s="279">
        <f t="shared" si="21"/>
        <v>111369.41960997575</v>
      </c>
      <c r="H183" s="278"/>
    </row>
    <row r="184" spans="1:8" x14ac:dyDescent="0.25">
      <c r="A184" s="276">
        <f t="shared" si="22"/>
        <v>2026</v>
      </c>
      <c r="B184" s="276">
        <f t="shared" si="23"/>
        <v>11</v>
      </c>
      <c r="C184" s="276">
        <f t="shared" si="23"/>
        <v>31</v>
      </c>
      <c r="D184" s="277">
        <f>C184/SUM(C174:C185)</f>
        <v>8.4699453551912565E-2</v>
      </c>
      <c r="F184" s="279">
        <f t="shared" si="21"/>
        <v>115081.73359697495</v>
      </c>
      <c r="H184" s="278"/>
    </row>
    <row r="185" spans="1:8" x14ac:dyDescent="0.25">
      <c r="A185" s="276">
        <f t="shared" si="22"/>
        <v>2026</v>
      </c>
      <c r="B185" s="276">
        <f t="shared" si="23"/>
        <v>12</v>
      </c>
      <c r="C185" s="276">
        <f t="shared" si="23"/>
        <v>30</v>
      </c>
      <c r="D185" s="277">
        <f>C185/SUM(C174:C185)</f>
        <v>8.1967213114754092E-2</v>
      </c>
      <c r="E185" s="275">
        <f>+FORECAST!F22</f>
        <v>1358706.9192417043</v>
      </c>
      <c r="F185" s="279">
        <f t="shared" si="21"/>
        <v>111369.41960997575</v>
      </c>
      <c r="H185" s="278"/>
    </row>
    <row r="186" spans="1:8" x14ac:dyDescent="0.25">
      <c r="A186" s="276">
        <f t="shared" si="22"/>
        <v>2027</v>
      </c>
      <c r="B186" s="276">
        <f t="shared" si="23"/>
        <v>1</v>
      </c>
      <c r="C186" s="276">
        <f t="shared" si="23"/>
        <v>31</v>
      </c>
      <c r="D186" s="277">
        <f>C186/SUM(C186:C197)</f>
        <v>8.4699453551912565E-2</v>
      </c>
      <c r="F186" s="279">
        <f t="shared" ref="F186:F197" si="24">E$197*D186</f>
        <v>138099.88764870979</v>
      </c>
      <c r="H186" s="278"/>
    </row>
    <row r="187" spans="1:8" x14ac:dyDescent="0.25">
      <c r="A187" s="276">
        <f t="shared" si="22"/>
        <v>2027</v>
      </c>
      <c r="B187" s="276">
        <f t="shared" si="23"/>
        <v>2</v>
      </c>
      <c r="C187" s="276">
        <f t="shared" si="23"/>
        <v>29</v>
      </c>
      <c r="D187" s="277">
        <f>C187/SUM(C186:C197)</f>
        <v>7.9234972677595633E-2</v>
      </c>
      <c r="F187" s="279">
        <f t="shared" si="24"/>
        <v>129190.2174778253</v>
      </c>
      <c r="H187" s="278"/>
    </row>
    <row r="188" spans="1:8" x14ac:dyDescent="0.25">
      <c r="A188" s="276">
        <f t="shared" si="22"/>
        <v>2027</v>
      </c>
      <c r="B188" s="276">
        <f t="shared" si="23"/>
        <v>3</v>
      </c>
      <c r="C188" s="276">
        <f t="shared" si="23"/>
        <v>31</v>
      </c>
      <c r="D188" s="277">
        <f>C188/SUM(C186:C197)</f>
        <v>8.4699453551912565E-2</v>
      </c>
      <c r="F188" s="279">
        <f t="shared" si="24"/>
        <v>138099.88764870979</v>
      </c>
      <c r="H188" s="278"/>
    </row>
    <row r="189" spans="1:8" x14ac:dyDescent="0.25">
      <c r="A189" s="276">
        <f t="shared" si="22"/>
        <v>2027</v>
      </c>
      <c r="B189" s="276">
        <f t="shared" si="23"/>
        <v>4</v>
      </c>
      <c r="C189" s="276">
        <f t="shared" si="23"/>
        <v>31</v>
      </c>
      <c r="D189" s="277">
        <f>C189/SUM(C186:C197)</f>
        <v>8.4699453551912565E-2</v>
      </c>
      <c r="F189" s="279">
        <f t="shared" si="24"/>
        <v>138099.88764870979</v>
      </c>
      <c r="H189" s="278"/>
    </row>
    <row r="190" spans="1:8" x14ac:dyDescent="0.25">
      <c r="A190" s="276">
        <f t="shared" si="22"/>
        <v>2027</v>
      </c>
      <c r="B190" s="276">
        <f t="shared" si="23"/>
        <v>5</v>
      </c>
      <c r="C190" s="276">
        <f t="shared" si="23"/>
        <v>30</v>
      </c>
      <c r="D190" s="277">
        <f>C190/SUM(C186:C197)</f>
        <v>8.1967213114754092E-2</v>
      </c>
      <c r="F190" s="279">
        <f t="shared" si="24"/>
        <v>133645.05256326753</v>
      </c>
      <c r="H190" s="278"/>
    </row>
    <row r="191" spans="1:8" x14ac:dyDescent="0.25">
      <c r="A191" s="276">
        <f t="shared" si="22"/>
        <v>2027</v>
      </c>
      <c r="B191" s="276">
        <f t="shared" si="23"/>
        <v>6</v>
      </c>
      <c r="C191" s="276">
        <f t="shared" si="23"/>
        <v>31</v>
      </c>
      <c r="D191" s="277">
        <f>C191/SUM(C186:C197)</f>
        <v>8.4699453551912565E-2</v>
      </c>
      <c r="F191" s="279">
        <f t="shared" si="24"/>
        <v>138099.88764870979</v>
      </c>
      <c r="H191" s="278"/>
    </row>
    <row r="192" spans="1:8" x14ac:dyDescent="0.25">
      <c r="A192" s="276">
        <f t="shared" si="22"/>
        <v>2027</v>
      </c>
      <c r="B192" s="276">
        <f t="shared" si="23"/>
        <v>7</v>
      </c>
      <c r="C192" s="276">
        <f t="shared" si="23"/>
        <v>30</v>
      </c>
      <c r="D192" s="277">
        <f>C192/SUM(C186:C197)</f>
        <v>8.1967213114754092E-2</v>
      </c>
      <c r="F192" s="279">
        <f t="shared" si="24"/>
        <v>133645.05256326753</v>
      </c>
      <c r="H192" s="278"/>
    </row>
    <row r="193" spans="1:8" x14ac:dyDescent="0.25">
      <c r="A193" s="276">
        <f t="shared" si="22"/>
        <v>2027</v>
      </c>
      <c r="B193" s="276">
        <f t="shared" si="23"/>
        <v>8</v>
      </c>
      <c r="C193" s="276">
        <f t="shared" si="23"/>
        <v>31</v>
      </c>
      <c r="D193" s="277">
        <f>C193/SUM(C186:C197)</f>
        <v>8.4699453551912565E-2</v>
      </c>
      <c r="F193" s="279">
        <f t="shared" si="24"/>
        <v>138099.88764870979</v>
      </c>
      <c r="H193" s="278"/>
    </row>
    <row r="194" spans="1:8" x14ac:dyDescent="0.25">
      <c r="A194" s="276">
        <f t="shared" si="22"/>
        <v>2027</v>
      </c>
      <c r="B194" s="276">
        <f t="shared" ref="B194:C209" si="25">B182</f>
        <v>9</v>
      </c>
      <c r="C194" s="276">
        <f t="shared" si="25"/>
        <v>31</v>
      </c>
      <c r="D194" s="277">
        <f>C194/SUM(C186:C197)</f>
        <v>8.4699453551912565E-2</v>
      </c>
      <c r="F194" s="279">
        <f t="shared" si="24"/>
        <v>138099.88764870979</v>
      </c>
      <c r="H194" s="278"/>
    </row>
    <row r="195" spans="1:8" x14ac:dyDescent="0.25">
      <c r="A195" s="276">
        <f t="shared" si="22"/>
        <v>2027</v>
      </c>
      <c r="B195" s="276">
        <f t="shared" si="25"/>
        <v>10</v>
      </c>
      <c r="C195" s="276">
        <f t="shared" si="25"/>
        <v>30</v>
      </c>
      <c r="D195" s="277">
        <f>C195/SUM(C186:C197)</f>
        <v>8.1967213114754092E-2</v>
      </c>
      <c r="F195" s="279">
        <f t="shared" si="24"/>
        <v>133645.05256326753</v>
      </c>
      <c r="H195" s="278"/>
    </row>
    <row r="196" spans="1:8" x14ac:dyDescent="0.25">
      <c r="A196" s="276">
        <f t="shared" si="22"/>
        <v>2027</v>
      </c>
      <c r="B196" s="276">
        <f t="shared" si="25"/>
        <v>11</v>
      </c>
      <c r="C196" s="276">
        <f t="shared" si="25"/>
        <v>31</v>
      </c>
      <c r="D196" s="277">
        <f>C196/SUM(C186:C197)</f>
        <v>8.4699453551912565E-2</v>
      </c>
      <c r="F196" s="279">
        <f t="shared" si="24"/>
        <v>138099.88764870979</v>
      </c>
      <c r="H196" s="278"/>
    </row>
    <row r="197" spans="1:8" x14ac:dyDescent="0.25">
      <c r="A197" s="276">
        <f t="shared" si="22"/>
        <v>2027</v>
      </c>
      <c r="B197" s="276">
        <f t="shared" si="25"/>
        <v>12</v>
      </c>
      <c r="C197" s="276">
        <f t="shared" si="25"/>
        <v>30</v>
      </c>
      <c r="D197" s="277">
        <f>C197/SUM(C186:C197)</f>
        <v>8.1967213114754092E-2</v>
      </c>
      <c r="E197" s="275">
        <f>+FORECAST!F23</f>
        <v>1630469.6412718641</v>
      </c>
      <c r="F197" s="279">
        <f t="shared" si="24"/>
        <v>133645.05256326753</v>
      </c>
      <c r="H197" s="278"/>
    </row>
    <row r="198" spans="1:8" x14ac:dyDescent="0.25">
      <c r="A198" s="276">
        <f t="shared" si="22"/>
        <v>2028</v>
      </c>
      <c r="B198" s="276">
        <f t="shared" si="25"/>
        <v>1</v>
      </c>
      <c r="C198" s="276">
        <f t="shared" si="25"/>
        <v>31</v>
      </c>
      <c r="D198" s="277">
        <f>C198/SUM(C198:C209)</f>
        <v>8.4699453551912565E-2</v>
      </c>
      <c r="F198" s="279">
        <f t="shared" ref="F198:F209" si="26">E$209*D198</f>
        <v>165718.66029022523</v>
      </c>
      <c r="H198" s="278"/>
    </row>
    <row r="199" spans="1:8" x14ac:dyDescent="0.25">
      <c r="A199" s="276">
        <f t="shared" si="22"/>
        <v>2028</v>
      </c>
      <c r="B199" s="276">
        <f t="shared" si="25"/>
        <v>2</v>
      </c>
      <c r="C199" s="276">
        <f t="shared" si="25"/>
        <v>29</v>
      </c>
      <c r="D199" s="277">
        <f>C199/SUM(C198:C209)</f>
        <v>7.9234972677595633E-2</v>
      </c>
      <c r="F199" s="279">
        <f t="shared" si="26"/>
        <v>155027.13381988811</v>
      </c>
      <c r="H199" s="278"/>
    </row>
    <row r="200" spans="1:8" x14ac:dyDescent="0.25">
      <c r="A200" s="276">
        <f t="shared" si="22"/>
        <v>2028</v>
      </c>
      <c r="B200" s="276">
        <f t="shared" si="25"/>
        <v>3</v>
      </c>
      <c r="C200" s="276">
        <f t="shared" si="25"/>
        <v>31</v>
      </c>
      <c r="D200" s="277">
        <f>C200/SUM(C198:C209)</f>
        <v>8.4699453551912565E-2</v>
      </c>
      <c r="F200" s="279">
        <f t="shared" si="26"/>
        <v>165718.66029022523</v>
      </c>
      <c r="H200" s="278"/>
    </row>
    <row r="201" spans="1:8" x14ac:dyDescent="0.25">
      <c r="A201" s="276">
        <f t="shared" si="22"/>
        <v>2028</v>
      </c>
      <c r="B201" s="276">
        <f t="shared" si="25"/>
        <v>4</v>
      </c>
      <c r="C201" s="276">
        <f t="shared" si="25"/>
        <v>31</v>
      </c>
      <c r="D201" s="277">
        <f>C201/SUM(C198:C209)</f>
        <v>8.4699453551912565E-2</v>
      </c>
      <c r="F201" s="279">
        <f t="shared" si="26"/>
        <v>165718.66029022523</v>
      </c>
      <c r="H201" s="278"/>
    </row>
    <row r="202" spans="1:8" x14ac:dyDescent="0.25">
      <c r="A202" s="276">
        <f t="shared" si="22"/>
        <v>2028</v>
      </c>
      <c r="B202" s="276">
        <f t="shared" si="25"/>
        <v>5</v>
      </c>
      <c r="C202" s="276">
        <f t="shared" si="25"/>
        <v>30</v>
      </c>
      <c r="D202" s="277">
        <f>C202/SUM(C198:C209)</f>
        <v>8.1967213114754092E-2</v>
      </c>
      <c r="F202" s="279">
        <f t="shared" si="26"/>
        <v>160372.89705505667</v>
      </c>
      <c r="H202" s="278"/>
    </row>
    <row r="203" spans="1:8" x14ac:dyDescent="0.25">
      <c r="A203" s="276">
        <f t="shared" si="22"/>
        <v>2028</v>
      </c>
      <c r="B203" s="276">
        <f t="shared" si="25"/>
        <v>6</v>
      </c>
      <c r="C203" s="276">
        <f t="shared" si="25"/>
        <v>31</v>
      </c>
      <c r="D203" s="277">
        <f>C203/SUM(C198:C209)</f>
        <v>8.4699453551912565E-2</v>
      </c>
      <c r="F203" s="279">
        <f t="shared" si="26"/>
        <v>165718.66029022523</v>
      </c>
      <c r="H203" s="278"/>
    </row>
    <row r="204" spans="1:8" x14ac:dyDescent="0.25">
      <c r="A204" s="276">
        <f t="shared" si="22"/>
        <v>2028</v>
      </c>
      <c r="B204" s="276">
        <f t="shared" si="25"/>
        <v>7</v>
      </c>
      <c r="C204" s="276">
        <f t="shared" si="25"/>
        <v>30</v>
      </c>
      <c r="D204" s="277">
        <f>C204/SUM(C198:C209)</f>
        <v>8.1967213114754092E-2</v>
      </c>
      <c r="F204" s="279">
        <f t="shared" si="26"/>
        <v>160372.89705505667</v>
      </c>
      <c r="H204" s="278"/>
    </row>
    <row r="205" spans="1:8" x14ac:dyDescent="0.25">
      <c r="A205" s="276">
        <f t="shared" si="22"/>
        <v>2028</v>
      </c>
      <c r="B205" s="276">
        <f t="shared" si="25"/>
        <v>8</v>
      </c>
      <c r="C205" s="276">
        <f t="shared" si="25"/>
        <v>31</v>
      </c>
      <c r="D205" s="277">
        <f>C205/SUM(C198:C209)</f>
        <v>8.4699453551912565E-2</v>
      </c>
      <c r="F205" s="279">
        <f t="shared" si="26"/>
        <v>165718.66029022523</v>
      </c>
      <c r="H205" s="278"/>
    </row>
    <row r="206" spans="1:8" x14ac:dyDescent="0.25">
      <c r="A206" s="276">
        <f t="shared" si="22"/>
        <v>2028</v>
      </c>
      <c r="B206" s="276">
        <f t="shared" si="25"/>
        <v>9</v>
      </c>
      <c r="C206" s="276">
        <f t="shared" si="25"/>
        <v>31</v>
      </c>
      <c r="D206" s="277">
        <f>C206/SUM(C198:C209)</f>
        <v>8.4699453551912565E-2</v>
      </c>
      <c r="F206" s="279">
        <f t="shared" si="26"/>
        <v>165718.66029022523</v>
      </c>
      <c r="H206" s="278"/>
    </row>
    <row r="207" spans="1:8" x14ac:dyDescent="0.25">
      <c r="A207" s="276">
        <f t="shared" si="22"/>
        <v>2028</v>
      </c>
      <c r="B207" s="276">
        <f t="shared" si="25"/>
        <v>10</v>
      </c>
      <c r="C207" s="276">
        <f t="shared" si="25"/>
        <v>30</v>
      </c>
      <c r="D207" s="277">
        <f>C207/SUM(C198:C209)</f>
        <v>8.1967213114754092E-2</v>
      </c>
      <c r="F207" s="279">
        <f t="shared" si="26"/>
        <v>160372.89705505667</v>
      </c>
      <c r="H207" s="278"/>
    </row>
    <row r="208" spans="1:8" x14ac:dyDescent="0.25">
      <c r="A208" s="276">
        <f t="shared" si="22"/>
        <v>2028</v>
      </c>
      <c r="B208" s="276">
        <f t="shared" si="25"/>
        <v>11</v>
      </c>
      <c r="C208" s="276">
        <f t="shared" si="25"/>
        <v>31</v>
      </c>
      <c r="D208" s="277">
        <f>C208/SUM(C198:C209)</f>
        <v>8.4699453551912565E-2</v>
      </c>
      <c r="F208" s="279">
        <f t="shared" si="26"/>
        <v>165718.66029022523</v>
      </c>
      <c r="H208" s="278"/>
    </row>
    <row r="209" spans="1:8" x14ac:dyDescent="0.25">
      <c r="A209" s="276">
        <f t="shared" si="22"/>
        <v>2028</v>
      </c>
      <c r="B209" s="276">
        <f t="shared" si="25"/>
        <v>12</v>
      </c>
      <c r="C209" s="276">
        <f t="shared" si="25"/>
        <v>30</v>
      </c>
      <c r="D209" s="277">
        <f>C209/SUM(C198:C209)</f>
        <v>8.1967213114754092E-2</v>
      </c>
      <c r="E209" s="275">
        <f>+FORECAST!F24</f>
        <v>1956549.3440716914</v>
      </c>
      <c r="F209" s="279">
        <f t="shared" si="26"/>
        <v>160372.89705505667</v>
      </c>
      <c r="H209" s="278"/>
    </row>
    <row r="210" spans="1:8" x14ac:dyDescent="0.25">
      <c r="A210" s="276">
        <f t="shared" si="22"/>
        <v>2029</v>
      </c>
      <c r="B210" s="276">
        <f t="shared" ref="B210:C225" si="27">B198</f>
        <v>1</v>
      </c>
      <c r="C210" s="276">
        <f t="shared" si="27"/>
        <v>31</v>
      </c>
      <c r="D210" s="277">
        <f>C210/SUM(C210:C221)</f>
        <v>8.4699453551912565E-2</v>
      </c>
      <c r="F210" s="279">
        <f t="shared" ref="F210:F221" si="28">E$221*D210</f>
        <v>198861.78990415702</v>
      </c>
      <c r="H210" s="278"/>
    </row>
    <row r="211" spans="1:8" x14ac:dyDescent="0.25">
      <c r="A211" s="276">
        <f t="shared" si="22"/>
        <v>2029</v>
      </c>
      <c r="B211" s="276">
        <f t="shared" si="27"/>
        <v>2</v>
      </c>
      <c r="C211" s="276">
        <f t="shared" si="27"/>
        <v>29</v>
      </c>
      <c r="D211" s="277">
        <f>C211/SUM(C210:C221)</f>
        <v>7.9234972677595633E-2</v>
      </c>
      <c r="F211" s="279">
        <f t="shared" si="28"/>
        <v>186031.99700711464</v>
      </c>
      <c r="H211" s="278"/>
    </row>
    <row r="212" spans="1:8" x14ac:dyDescent="0.25">
      <c r="A212" s="276">
        <f t="shared" si="22"/>
        <v>2029</v>
      </c>
      <c r="B212" s="276">
        <f t="shared" si="27"/>
        <v>3</v>
      </c>
      <c r="C212" s="276">
        <f t="shared" si="27"/>
        <v>31</v>
      </c>
      <c r="D212" s="277">
        <f>C212/SUM(C210:C221)</f>
        <v>8.4699453551912565E-2</v>
      </c>
      <c r="F212" s="279">
        <f t="shared" si="28"/>
        <v>198861.78990415702</v>
      </c>
      <c r="H212" s="278"/>
    </row>
    <row r="213" spans="1:8" x14ac:dyDescent="0.25">
      <c r="A213" s="276">
        <f t="shared" si="22"/>
        <v>2029</v>
      </c>
      <c r="B213" s="276">
        <f t="shared" si="27"/>
        <v>4</v>
      </c>
      <c r="C213" s="276">
        <f t="shared" si="27"/>
        <v>31</v>
      </c>
      <c r="D213" s="277">
        <f>C213/SUM(C210:C221)</f>
        <v>8.4699453551912565E-2</v>
      </c>
      <c r="F213" s="279">
        <f t="shared" si="28"/>
        <v>198861.78990415702</v>
      </c>
      <c r="H213" s="278"/>
    </row>
    <row r="214" spans="1:8" x14ac:dyDescent="0.25">
      <c r="A214" s="276">
        <f t="shared" si="22"/>
        <v>2029</v>
      </c>
      <c r="B214" s="276">
        <f t="shared" si="27"/>
        <v>5</v>
      </c>
      <c r="C214" s="276">
        <f t="shared" si="27"/>
        <v>30</v>
      </c>
      <c r="D214" s="277">
        <f>C214/SUM(C210:C221)</f>
        <v>8.1967213114754092E-2</v>
      </c>
      <c r="F214" s="279">
        <f t="shared" si="28"/>
        <v>192446.89345563581</v>
      </c>
      <c r="H214" s="278"/>
    </row>
    <row r="215" spans="1:8" x14ac:dyDescent="0.25">
      <c r="A215" s="276">
        <f t="shared" si="22"/>
        <v>2029</v>
      </c>
      <c r="B215" s="276">
        <f t="shared" si="27"/>
        <v>6</v>
      </c>
      <c r="C215" s="276">
        <f t="shared" si="27"/>
        <v>31</v>
      </c>
      <c r="D215" s="277">
        <f>C215/SUM(C210:C221)</f>
        <v>8.4699453551912565E-2</v>
      </c>
      <c r="F215" s="279">
        <f t="shared" si="28"/>
        <v>198861.78990415702</v>
      </c>
      <c r="H215" s="278"/>
    </row>
    <row r="216" spans="1:8" x14ac:dyDescent="0.25">
      <c r="A216" s="276">
        <f t="shared" si="22"/>
        <v>2029</v>
      </c>
      <c r="B216" s="276">
        <f t="shared" si="27"/>
        <v>7</v>
      </c>
      <c r="C216" s="276">
        <f t="shared" si="27"/>
        <v>30</v>
      </c>
      <c r="D216" s="277">
        <f>C216/SUM(C210:C221)</f>
        <v>8.1967213114754092E-2</v>
      </c>
      <c r="F216" s="279">
        <f t="shared" si="28"/>
        <v>192446.89345563581</v>
      </c>
      <c r="H216" s="278"/>
    </row>
    <row r="217" spans="1:8" x14ac:dyDescent="0.25">
      <c r="A217" s="276">
        <f t="shared" si="22"/>
        <v>2029</v>
      </c>
      <c r="B217" s="276">
        <f t="shared" si="27"/>
        <v>8</v>
      </c>
      <c r="C217" s="276">
        <f t="shared" si="27"/>
        <v>31</v>
      </c>
      <c r="D217" s="277">
        <f>C217/SUM(C210:C221)</f>
        <v>8.4699453551912565E-2</v>
      </c>
      <c r="F217" s="279">
        <f t="shared" si="28"/>
        <v>198861.78990415702</v>
      </c>
      <c r="H217" s="278"/>
    </row>
    <row r="218" spans="1:8" x14ac:dyDescent="0.25">
      <c r="A218" s="276">
        <f t="shared" si="22"/>
        <v>2029</v>
      </c>
      <c r="B218" s="276">
        <f t="shared" si="27"/>
        <v>9</v>
      </c>
      <c r="C218" s="276">
        <f t="shared" si="27"/>
        <v>31</v>
      </c>
      <c r="D218" s="277">
        <f>C218/SUM(C210:C221)</f>
        <v>8.4699453551912565E-2</v>
      </c>
      <c r="F218" s="279">
        <f t="shared" si="28"/>
        <v>198861.78990415702</v>
      </c>
      <c r="H218" s="278"/>
    </row>
    <row r="219" spans="1:8" x14ac:dyDescent="0.25">
      <c r="A219" s="276">
        <f t="shared" si="22"/>
        <v>2029</v>
      </c>
      <c r="B219" s="276">
        <f t="shared" si="27"/>
        <v>10</v>
      </c>
      <c r="C219" s="276">
        <f t="shared" si="27"/>
        <v>30</v>
      </c>
      <c r="D219" s="277">
        <f>C219/SUM(C210:C221)</f>
        <v>8.1967213114754092E-2</v>
      </c>
      <c r="F219" s="279">
        <f t="shared" si="28"/>
        <v>192446.89345563581</v>
      </c>
      <c r="H219" s="278"/>
    </row>
    <row r="220" spans="1:8" x14ac:dyDescent="0.25">
      <c r="A220" s="276">
        <f t="shared" si="22"/>
        <v>2029</v>
      </c>
      <c r="B220" s="276">
        <f t="shared" si="27"/>
        <v>11</v>
      </c>
      <c r="C220" s="276">
        <f t="shared" si="27"/>
        <v>31</v>
      </c>
      <c r="D220" s="277">
        <f>C220/SUM(C210:C221)</f>
        <v>8.4699453551912565E-2</v>
      </c>
      <c r="F220" s="279">
        <f t="shared" si="28"/>
        <v>198861.78990415702</v>
      </c>
      <c r="H220" s="278"/>
    </row>
    <row r="221" spans="1:8" x14ac:dyDescent="0.25">
      <c r="A221" s="276">
        <f t="shared" si="22"/>
        <v>2029</v>
      </c>
      <c r="B221" s="276">
        <f t="shared" si="27"/>
        <v>12</v>
      </c>
      <c r="C221" s="276">
        <f t="shared" si="27"/>
        <v>30</v>
      </c>
      <c r="D221" s="277">
        <f>C221/SUM(C210:C221)</f>
        <v>8.1967213114754092E-2</v>
      </c>
      <c r="E221" s="275">
        <f>+FORECAST!F25</f>
        <v>2347852.1001587571</v>
      </c>
      <c r="F221" s="279">
        <f t="shared" si="28"/>
        <v>192446.89345563581</v>
      </c>
      <c r="H221" s="278"/>
    </row>
    <row r="222" spans="1:8" x14ac:dyDescent="0.25">
      <c r="A222" s="276">
        <f t="shared" si="22"/>
        <v>2030</v>
      </c>
      <c r="B222" s="276">
        <f t="shared" si="27"/>
        <v>1</v>
      </c>
      <c r="C222" s="276">
        <f t="shared" si="27"/>
        <v>31</v>
      </c>
      <c r="D222" s="277">
        <f>C222/SUM(C222:C233)</f>
        <v>8.4699453551912565E-2</v>
      </c>
      <c r="F222" s="279">
        <f t="shared" ref="F222:F233" si="29">E$233*D222</f>
        <v>238634.75032910169</v>
      </c>
      <c r="H222" s="278"/>
    </row>
    <row r="223" spans="1:8" x14ac:dyDescent="0.25">
      <c r="A223" s="276">
        <f t="shared" si="22"/>
        <v>2030</v>
      </c>
      <c r="B223" s="276">
        <f t="shared" si="27"/>
        <v>2</v>
      </c>
      <c r="C223" s="276">
        <f t="shared" si="27"/>
        <v>29</v>
      </c>
      <c r="D223" s="277">
        <f>C223/SUM(C222:C233)</f>
        <v>7.9234972677595633E-2</v>
      </c>
      <c r="F223" s="279">
        <f t="shared" si="29"/>
        <v>223238.9599852887</v>
      </c>
      <c r="H223" s="278"/>
    </row>
    <row r="224" spans="1:8" x14ac:dyDescent="0.25">
      <c r="A224" s="276">
        <f t="shared" si="22"/>
        <v>2030</v>
      </c>
      <c r="B224" s="276">
        <f t="shared" si="27"/>
        <v>3</v>
      </c>
      <c r="C224" s="276">
        <f t="shared" si="27"/>
        <v>31</v>
      </c>
      <c r="D224" s="277">
        <f>C224/SUM(C222:C233)</f>
        <v>8.4699453551912565E-2</v>
      </c>
      <c r="F224" s="279">
        <f t="shared" si="29"/>
        <v>238634.75032910169</v>
      </c>
      <c r="H224" s="278"/>
    </row>
    <row r="225" spans="1:8" x14ac:dyDescent="0.25">
      <c r="A225" s="276">
        <f t="shared" si="22"/>
        <v>2030</v>
      </c>
      <c r="B225" s="276">
        <f t="shared" si="27"/>
        <v>4</v>
      </c>
      <c r="C225" s="276">
        <f t="shared" si="27"/>
        <v>31</v>
      </c>
      <c r="D225" s="277">
        <f>C225/SUM(C222:C233)</f>
        <v>8.4699453551912565E-2</v>
      </c>
      <c r="F225" s="279">
        <f t="shared" si="29"/>
        <v>238634.75032910169</v>
      </c>
      <c r="H225" s="278"/>
    </row>
    <row r="226" spans="1:8" x14ac:dyDescent="0.25">
      <c r="A226" s="276">
        <f t="shared" si="22"/>
        <v>2030</v>
      </c>
      <c r="B226" s="276">
        <f t="shared" ref="B226:C233" si="30">B214</f>
        <v>5</v>
      </c>
      <c r="C226" s="276">
        <f t="shared" si="30"/>
        <v>30</v>
      </c>
      <c r="D226" s="277">
        <f>C226/SUM(C222:C233)</f>
        <v>8.1967213114754092E-2</v>
      </c>
      <c r="F226" s="279">
        <f t="shared" si="29"/>
        <v>230936.85515719518</v>
      </c>
      <c r="H226" s="278"/>
    </row>
    <row r="227" spans="1:8" x14ac:dyDescent="0.25">
      <c r="A227" s="276">
        <f t="shared" si="22"/>
        <v>2030</v>
      </c>
      <c r="B227" s="276">
        <f t="shared" si="30"/>
        <v>6</v>
      </c>
      <c r="C227" s="276">
        <f t="shared" si="30"/>
        <v>31</v>
      </c>
      <c r="D227" s="277">
        <f>C227/SUM(C222:C233)</f>
        <v>8.4699453551912565E-2</v>
      </c>
      <c r="F227" s="279">
        <f t="shared" si="29"/>
        <v>238634.75032910169</v>
      </c>
      <c r="H227" s="278"/>
    </row>
    <row r="228" spans="1:8" x14ac:dyDescent="0.25">
      <c r="A228" s="276">
        <f t="shared" si="22"/>
        <v>2030</v>
      </c>
      <c r="B228" s="276">
        <f t="shared" si="30"/>
        <v>7</v>
      </c>
      <c r="C228" s="276">
        <f t="shared" si="30"/>
        <v>30</v>
      </c>
      <c r="D228" s="277">
        <f>C228/SUM(C222:C233)</f>
        <v>8.1967213114754092E-2</v>
      </c>
      <c r="F228" s="279">
        <f t="shared" si="29"/>
        <v>230936.85515719518</v>
      </c>
      <c r="H228" s="278"/>
    </row>
    <row r="229" spans="1:8" x14ac:dyDescent="0.25">
      <c r="A229" s="276">
        <f t="shared" si="22"/>
        <v>2030</v>
      </c>
      <c r="B229" s="276">
        <f t="shared" si="30"/>
        <v>8</v>
      </c>
      <c r="C229" s="276">
        <f t="shared" si="30"/>
        <v>31</v>
      </c>
      <c r="D229" s="277">
        <f>C229/SUM(C222:C233)</f>
        <v>8.4699453551912565E-2</v>
      </c>
      <c r="F229" s="279">
        <f t="shared" si="29"/>
        <v>238634.75032910169</v>
      </c>
      <c r="H229" s="278"/>
    </row>
    <row r="230" spans="1:8" x14ac:dyDescent="0.25">
      <c r="A230" s="276">
        <f t="shared" si="22"/>
        <v>2030</v>
      </c>
      <c r="B230" s="276">
        <f t="shared" si="30"/>
        <v>9</v>
      </c>
      <c r="C230" s="276">
        <f t="shared" si="30"/>
        <v>31</v>
      </c>
      <c r="D230" s="277">
        <f>C230/SUM(C222:C233)</f>
        <v>8.4699453551912565E-2</v>
      </c>
      <c r="F230" s="279">
        <f t="shared" si="29"/>
        <v>238634.75032910169</v>
      </c>
      <c r="H230" s="278"/>
    </row>
    <row r="231" spans="1:8" x14ac:dyDescent="0.25">
      <c r="A231" s="276">
        <f t="shared" si="22"/>
        <v>2030</v>
      </c>
      <c r="B231" s="276">
        <f t="shared" si="30"/>
        <v>10</v>
      </c>
      <c r="C231" s="276">
        <f t="shared" si="30"/>
        <v>30</v>
      </c>
      <c r="D231" s="277">
        <f>C231/SUM(C222:C233)</f>
        <v>8.1967213114754092E-2</v>
      </c>
      <c r="F231" s="279">
        <f t="shared" si="29"/>
        <v>230936.85515719518</v>
      </c>
      <c r="H231" s="278"/>
    </row>
    <row r="232" spans="1:8" x14ac:dyDescent="0.25">
      <c r="A232" s="276">
        <f t="shared" si="22"/>
        <v>2030</v>
      </c>
      <c r="B232" s="276">
        <f t="shared" si="30"/>
        <v>11</v>
      </c>
      <c r="C232" s="276">
        <f t="shared" si="30"/>
        <v>31</v>
      </c>
      <c r="D232" s="277">
        <f>C232/SUM(C222:C233)</f>
        <v>8.4699453551912565E-2</v>
      </c>
      <c r="F232" s="279">
        <f t="shared" si="29"/>
        <v>238634.75032910169</v>
      </c>
      <c r="H232" s="278"/>
    </row>
    <row r="233" spans="1:8" x14ac:dyDescent="0.25">
      <c r="A233" s="276">
        <f t="shared" si="22"/>
        <v>2030</v>
      </c>
      <c r="B233" s="276">
        <f t="shared" si="30"/>
        <v>12</v>
      </c>
      <c r="C233" s="276">
        <f t="shared" si="30"/>
        <v>30</v>
      </c>
      <c r="D233" s="277">
        <f>C233/SUM(C222:C233)</f>
        <v>8.1967213114754092E-2</v>
      </c>
      <c r="E233" s="275">
        <f>+FORECAST!F26</f>
        <v>2817429.6329177814</v>
      </c>
      <c r="F233" s="279">
        <f t="shared" si="29"/>
        <v>230936.85515719518</v>
      </c>
      <c r="H233" s="278"/>
    </row>
    <row r="234" spans="1:8" x14ac:dyDescent="0.25">
      <c r="D234" s="277"/>
    </row>
    <row r="235" spans="1:8" x14ac:dyDescent="0.25">
      <c r="A235" s="273"/>
      <c r="B235" s="273"/>
      <c r="C235" s="273"/>
      <c r="D235" s="277"/>
      <c r="E235" s="275">
        <f>SUM(E6:E233)</f>
        <v>15158482.131522916</v>
      </c>
      <c r="F235" s="275">
        <f>SUM(F6:F233)</f>
        <v>15158482.131522911</v>
      </c>
    </row>
    <row r="236" spans="1:8" x14ac:dyDescent="0.25">
      <c r="A236" s="273"/>
      <c r="B236" s="273"/>
      <c r="C236" s="273"/>
      <c r="D236" s="277"/>
    </row>
    <row r="237" spans="1:8" x14ac:dyDescent="0.25">
      <c r="A237" s="273"/>
      <c r="B237" s="273"/>
      <c r="C237" s="273"/>
      <c r="D237" s="277"/>
      <c r="E237" s="275">
        <f>SUM(FORECAST!F7:F26)</f>
        <v>15158482.131522916</v>
      </c>
      <c r="F237" s="282" t="s">
        <v>198</v>
      </c>
    </row>
    <row r="238" spans="1:8" x14ac:dyDescent="0.25">
      <c r="A238" s="273"/>
      <c r="B238" s="273"/>
      <c r="C238" s="273"/>
      <c r="D238" s="277"/>
    </row>
    <row r="239" spans="1:8" x14ac:dyDescent="0.25">
      <c r="A239" s="273"/>
      <c r="B239" s="273"/>
      <c r="C239" s="273"/>
      <c r="D239" s="277"/>
    </row>
    <row r="240" spans="1:8" x14ac:dyDescent="0.25">
      <c r="A240" s="273"/>
      <c r="B240" s="273"/>
      <c r="C240" s="273"/>
      <c r="D240" s="277"/>
    </row>
    <row r="241" spans="1:5" x14ac:dyDescent="0.25">
      <c r="A241" s="273"/>
      <c r="B241" s="273"/>
      <c r="C241" s="273"/>
      <c r="D241" s="277"/>
    </row>
    <row r="242" spans="1:5" x14ac:dyDescent="0.25">
      <c r="A242" s="273"/>
      <c r="B242" s="273"/>
      <c r="C242" s="273"/>
      <c r="D242" s="277"/>
    </row>
    <row r="243" spans="1:5" x14ac:dyDescent="0.25">
      <c r="A243" s="273"/>
      <c r="B243" s="273"/>
      <c r="C243" s="273"/>
      <c r="D243" s="277"/>
    </row>
    <row r="244" spans="1:5" x14ac:dyDescent="0.25">
      <c r="A244" s="273"/>
      <c r="B244" s="273"/>
      <c r="C244" s="273"/>
      <c r="D244" s="277"/>
    </row>
    <row r="245" spans="1:5" x14ac:dyDescent="0.25">
      <c r="A245" s="273"/>
      <c r="B245" s="273"/>
      <c r="C245" s="273"/>
      <c r="D245" s="277"/>
    </row>
    <row r="246" spans="1:5" x14ac:dyDescent="0.25">
      <c r="A246" s="273"/>
      <c r="B246" s="273"/>
      <c r="C246" s="273"/>
      <c r="D246" s="277"/>
    </row>
    <row r="247" spans="1:5" x14ac:dyDescent="0.25">
      <c r="A247" s="273"/>
      <c r="B247" s="273"/>
      <c r="C247" s="273"/>
      <c r="D247" s="277"/>
    </row>
    <row r="248" spans="1:5" x14ac:dyDescent="0.25">
      <c r="A248" s="273"/>
      <c r="B248" s="273"/>
      <c r="C248" s="273"/>
      <c r="D248" s="277"/>
    </row>
    <row r="249" spans="1:5" x14ac:dyDescent="0.25">
      <c r="A249" s="273"/>
      <c r="B249" s="273"/>
      <c r="C249" s="273"/>
      <c r="D249" s="277"/>
    </row>
    <row r="250" spans="1:5" x14ac:dyDescent="0.25">
      <c r="A250" s="273"/>
      <c r="B250" s="273"/>
      <c r="C250" s="273"/>
      <c r="D250" s="277"/>
      <c r="E250" s="273"/>
    </row>
    <row r="251" spans="1:5" x14ac:dyDescent="0.25">
      <c r="A251" s="273"/>
      <c r="B251" s="273"/>
      <c r="C251" s="273"/>
      <c r="D251" s="277"/>
      <c r="E251" s="273"/>
    </row>
    <row r="252" spans="1:5" x14ac:dyDescent="0.25">
      <c r="A252" s="273"/>
      <c r="B252" s="273"/>
      <c r="C252" s="273"/>
      <c r="D252" s="277"/>
      <c r="E252" s="273"/>
    </row>
    <row r="253" spans="1:5" x14ac:dyDescent="0.25">
      <c r="A253" s="273"/>
      <c r="B253" s="273"/>
      <c r="C253" s="273"/>
      <c r="D253" s="277"/>
      <c r="E253" s="273"/>
    </row>
    <row r="254" spans="1:5" x14ac:dyDescent="0.25">
      <c r="A254" s="273"/>
      <c r="B254" s="273"/>
      <c r="C254" s="273"/>
      <c r="D254" s="277"/>
      <c r="E254" s="273"/>
    </row>
    <row r="255" spans="1:5" x14ac:dyDescent="0.25">
      <c r="A255" s="273"/>
      <c r="B255" s="273"/>
      <c r="C255" s="273"/>
      <c r="D255" s="277"/>
      <c r="E255" s="273"/>
    </row>
    <row r="256" spans="1:5" x14ac:dyDescent="0.25">
      <c r="A256" s="273"/>
      <c r="B256" s="273"/>
      <c r="C256" s="273"/>
      <c r="D256" s="277"/>
      <c r="E256" s="273"/>
    </row>
    <row r="257" spans="1:5" x14ac:dyDescent="0.25">
      <c r="A257" s="273"/>
      <c r="B257" s="273"/>
      <c r="C257" s="273"/>
      <c r="D257" s="277"/>
      <c r="E257" s="273"/>
    </row>
    <row r="258" spans="1:5" x14ac:dyDescent="0.25">
      <c r="A258" s="273"/>
      <c r="B258" s="273"/>
      <c r="C258" s="273"/>
      <c r="D258" s="277"/>
      <c r="E258" s="273"/>
    </row>
    <row r="259" spans="1:5" x14ac:dyDescent="0.25">
      <c r="A259" s="273"/>
      <c r="B259" s="273"/>
      <c r="C259" s="273"/>
      <c r="D259" s="277"/>
      <c r="E259" s="273"/>
    </row>
    <row r="260" spans="1:5" x14ac:dyDescent="0.25">
      <c r="A260" s="273"/>
      <c r="B260" s="273"/>
      <c r="C260" s="273"/>
      <c r="D260" s="277"/>
      <c r="E260" s="273"/>
    </row>
    <row r="261" spans="1:5" x14ac:dyDescent="0.25">
      <c r="A261" s="273"/>
      <c r="B261" s="273"/>
      <c r="C261" s="273"/>
      <c r="D261" s="277"/>
      <c r="E261" s="273"/>
    </row>
    <row r="262" spans="1:5" x14ac:dyDescent="0.25">
      <c r="A262" s="273"/>
      <c r="B262" s="273"/>
      <c r="C262" s="273"/>
      <c r="D262" s="277"/>
      <c r="E262" s="273"/>
    </row>
    <row r="263" spans="1:5" x14ac:dyDescent="0.25">
      <c r="A263" s="273"/>
      <c r="B263" s="273"/>
      <c r="C263" s="273"/>
      <c r="D263" s="277"/>
      <c r="E263" s="273"/>
    </row>
    <row r="264" spans="1:5" x14ac:dyDescent="0.25">
      <c r="A264" s="273"/>
      <c r="B264" s="273"/>
      <c r="C264" s="273"/>
      <c r="D264" s="277"/>
      <c r="E264" s="273"/>
    </row>
    <row r="265" spans="1:5" ht="12.75" x14ac:dyDescent="0.2">
      <c r="A265" s="273"/>
      <c r="B265" s="273"/>
      <c r="C265" s="273"/>
      <c r="D265" s="277"/>
      <c r="E265" s="273"/>
    </row>
    <row r="266" spans="1:5" ht="12.75" x14ac:dyDescent="0.2">
      <c r="A266" s="273"/>
      <c r="B266" s="273"/>
      <c r="C266" s="273"/>
      <c r="D266" s="277"/>
      <c r="E266" s="273"/>
    </row>
    <row r="267" spans="1:5" x14ac:dyDescent="0.25">
      <c r="A267" s="273"/>
      <c r="B267" s="273"/>
      <c r="C267" s="273"/>
      <c r="D267" s="277"/>
      <c r="E267" s="27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theme="3" tint="-0.499984740745262"/>
  </sheetPr>
  <dimension ref="A1:AQ52"/>
  <sheetViews>
    <sheetView zoomScale="75" zoomScaleNormal="75" zoomScaleSheetLayoutView="100" workbookViewId="0">
      <selection activeCell="A2" sqref="A1:A2"/>
    </sheetView>
  </sheetViews>
  <sheetFormatPr defaultColWidth="13.6640625" defaultRowHeight="13.2" x14ac:dyDescent="0.25"/>
  <cols>
    <col min="1" max="1" width="11.88671875" style="2" customWidth="1"/>
    <col min="2" max="6" width="13.6640625" style="2"/>
    <col min="7" max="7" width="18.109375" style="2" customWidth="1"/>
    <col min="8" max="9" width="3.109375" style="2" customWidth="1"/>
    <col min="10" max="10" width="8.109375" style="1" customWidth="1"/>
    <col min="11" max="11" width="16" style="5" customWidth="1"/>
    <col min="12" max="12" width="16.109375" style="5" customWidth="1"/>
    <col min="13" max="13" width="15.5546875" style="5" customWidth="1"/>
    <col min="14" max="14" width="22" style="5" customWidth="1"/>
    <col min="15" max="15" width="18.6640625" style="4" customWidth="1"/>
    <col min="16" max="16" width="14.6640625" style="4" customWidth="1"/>
    <col min="17" max="18" width="13" style="4" customWidth="1"/>
    <col min="19" max="20" width="15.44140625" style="4" customWidth="1"/>
    <col min="21" max="22" width="3.109375" style="13" customWidth="1"/>
    <col min="23" max="23" width="6" style="2" customWidth="1"/>
    <col min="24" max="24" width="19" style="2" customWidth="1"/>
    <col min="25" max="25" width="14.33203125" style="2" customWidth="1"/>
    <col min="26" max="26" width="13.44140625" style="2" customWidth="1"/>
    <col min="27" max="27" width="11.5546875" style="2" customWidth="1"/>
    <col min="28" max="28" width="16.109375" style="2" customWidth="1"/>
    <col min="29" max="29" width="12.5546875" style="2" customWidth="1"/>
    <col min="30" max="32" width="16.44140625" style="2" customWidth="1"/>
    <col min="33" max="33" width="17.33203125" style="2" customWidth="1"/>
    <col min="34" max="34" width="3.44140625" style="2" customWidth="1"/>
    <col min="35" max="35" width="7" style="2" customWidth="1"/>
    <col min="36" max="36" width="10.109375" style="2" customWidth="1"/>
    <col min="37" max="37" width="13" style="2" customWidth="1"/>
    <col min="38" max="38" width="3" style="2" customWidth="1"/>
    <col min="39" max="39" width="9.33203125" style="2" customWidth="1"/>
    <col min="40" max="40" width="9.44140625" style="2" customWidth="1"/>
    <col min="41" max="41" width="13" style="2" bestFit="1" customWidth="1"/>
    <col min="42" max="16384" width="13.6640625" style="2"/>
  </cols>
  <sheetData>
    <row r="1" spans="1:43" x14ac:dyDescent="0.25">
      <c r="A1" s="315" t="s">
        <v>201</v>
      </c>
    </row>
    <row r="2" spans="1:43" x14ac:dyDescent="0.25">
      <c r="A2" s="315" t="s">
        <v>200</v>
      </c>
    </row>
    <row r="3" spans="1:43" ht="14.4" x14ac:dyDescent="0.3">
      <c r="A3" s="71"/>
      <c r="B3" s="35"/>
      <c r="C3" s="52"/>
      <c r="D3" s="52"/>
      <c r="E3" s="52"/>
      <c r="F3" s="52"/>
      <c r="G3" s="52"/>
      <c r="H3" s="36"/>
      <c r="I3" s="36"/>
      <c r="J3" s="35"/>
      <c r="K3" s="52"/>
      <c r="L3" s="52"/>
      <c r="M3" s="52"/>
      <c r="N3" s="52"/>
      <c r="O3" s="36"/>
      <c r="P3" s="36"/>
      <c r="Q3" s="36"/>
      <c r="R3" s="36"/>
      <c r="S3" s="36"/>
      <c r="T3" s="36"/>
      <c r="U3" s="48"/>
      <c r="V3" s="48"/>
      <c r="W3" s="71"/>
      <c r="X3" s="71"/>
      <c r="Y3" s="71"/>
      <c r="Z3" s="71"/>
      <c r="AA3" s="71"/>
      <c r="AB3" s="71"/>
      <c r="AC3" s="71"/>
      <c r="AD3" s="71"/>
      <c r="AE3" s="101"/>
      <c r="AF3" s="101"/>
      <c r="AG3" s="71"/>
      <c r="AH3" s="71"/>
    </row>
    <row r="4" spans="1:43" ht="18" customHeight="1" thickBot="1" x14ac:dyDescent="0.45">
      <c r="A4" s="71"/>
      <c r="B4" s="286" t="s">
        <v>83</v>
      </c>
      <c r="C4" s="286"/>
      <c r="D4" s="43" t="s">
        <v>1</v>
      </c>
      <c r="E4" s="62">
        <v>2014</v>
      </c>
      <c r="F4" s="62"/>
      <c r="G4" s="44"/>
      <c r="H4" s="93"/>
      <c r="I4" s="93"/>
      <c r="J4" s="286" t="s">
        <v>79</v>
      </c>
      <c r="K4" s="286"/>
      <c r="L4" s="43" t="s">
        <v>1</v>
      </c>
      <c r="M4" s="62">
        <v>2014</v>
      </c>
      <c r="N4" s="44"/>
      <c r="O4" s="44"/>
      <c r="P4" s="43" t="s">
        <v>2</v>
      </c>
      <c r="Q4" s="69">
        <v>41518</v>
      </c>
      <c r="R4" s="69"/>
      <c r="S4" s="69"/>
      <c r="T4" s="44"/>
      <c r="U4" s="49"/>
      <c r="V4" s="49"/>
      <c r="W4" s="286" t="s">
        <v>78</v>
      </c>
      <c r="X4" s="286"/>
      <c r="Y4" s="43" t="s">
        <v>1</v>
      </c>
      <c r="Z4" s="62">
        <v>2014</v>
      </c>
      <c r="AA4" s="44"/>
      <c r="AB4" s="44"/>
      <c r="AC4" s="43" t="s">
        <v>2</v>
      </c>
      <c r="AD4" s="69">
        <v>41518</v>
      </c>
      <c r="AE4" s="69"/>
      <c r="AF4" s="69"/>
      <c r="AG4" s="44"/>
      <c r="AH4" s="71"/>
    </row>
    <row r="5" spans="1:43" ht="15" thickTop="1" x14ac:dyDescent="0.3">
      <c r="A5" s="71"/>
      <c r="B5" s="289"/>
      <c r="C5" s="290"/>
      <c r="D5" s="290"/>
      <c r="E5" s="290"/>
      <c r="F5" s="290"/>
      <c r="G5" s="290"/>
      <c r="H5" s="290"/>
      <c r="I5" s="72"/>
      <c r="J5" s="289"/>
      <c r="K5" s="290"/>
      <c r="L5" s="290"/>
      <c r="M5" s="290"/>
      <c r="N5" s="290"/>
      <c r="O5" s="290"/>
      <c r="P5" s="53"/>
      <c r="Q5" s="53"/>
      <c r="R5" s="102"/>
      <c r="S5" s="102"/>
      <c r="T5" s="53"/>
      <c r="U5" s="48"/>
      <c r="V5" s="48"/>
      <c r="W5" s="71"/>
      <c r="X5" s="71"/>
      <c r="Y5" s="71"/>
      <c r="Z5" s="71"/>
      <c r="AA5" s="71"/>
      <c r="AB5" s="71"/>
      <c r="AC5" s="71"/>
      <c r="AD5" s="71"/>
      <c r="AE5" s="101"/>
      <c r="AF5" s="101"/>
      <c r="AG5" s="71"/>
      <c r="AH5" s="71"/>
    </row>
    <row r="6" spans="1:43" ht="52.8" thickBot="1" x14ac:dyDescent="0.4">
      <c r="A6" s="71"/>
      <c r="B6" s="46" t="s">
        <v>1</v>
      </c>
      <c r="C6" s="45" t="s">
        <v>80</v>
      </c>
      <c r="D6" s="45" t="s">
        <v>81</v>
      </c>
      <c r="E6" s="45" t="s">
        <v>82</v>
      </c>
      <c r="F6" s="45" t="s">
        <v>12</v>
      </c>
      <c r="G6" s="45" t="s">
        <v>13</v>
      </c>
      <c r="H6" s="92"/>
      <c r="I6" s="92"/>
      <c r="J6" s="91" t="s">
        <v>1</v>
      </c>
      <c r="K6" s="45" t="s">
        <v>23</v>
      </c>
      <c r="L6" s="45" t="s">
        <v>18</v>
      </c>
      <c r="M6" s="45" t="s">
        <v>24</v>
      </c>
      <c r="N6" s="45" t="s">
        <v>19</v>
      </c>
      <c r="O6" s="45" t="s">
        <v>25</v>
      </c>
      <c r="P6" s="45" t="s">
        <v>20</v>
      </c>
      <c r="Q6" s="45" t="s">
        <v>21</v>
      </c>
      <c r="R6" s="45" t="s">
        <v>28</v>
      </c>
      <c r="S6" s="45" t="s">
        <v>12</v>
      </c>
      <c r="T6" s="45" t="s">
        <v>13</v>
      </c>
      <c r="U6" s="54"/>
      <c r="V6" s="54"/>
      <c r="W6" s="47" t="s">
        <v>1</v>
      </c>
      <c r="X6" s="45" t="s">
        <v>23</v>
      </c>
      <c r="Y6" s="45" t="s">
        <v>18</v>
      </c>
      <c r="Z6" s="45" t="s">
        <v>24</v>
      </c>
      <c r="AA6" s="45" t="s">
        <v>19</v>
      </c>
      <c r="AB6" s="45" t="s">
        <v>25</v>
      </c>
      <c r="AC6" s="45" t="s">
        <v>20</v>
      </c>
      <c r="AD6" s="45" t="s">
        <v>94</v>
      </c>
      <c r="AE6" s="45" t="s">
        <v>93</v>
      </c>
      <c r="AF6" s="45" t="s">
        <v>12</v>
      </c>
      <c r="AG6" s="45" t="s">
        <v>13</v>
      </c>
      <c r="AH6" s="71"/>
    </row>
    <row r="7" spans="1:43" ht="15" thickTop="1" x14ac:dyDescent="0.3">
      <c r="A7" s="71"/>
      <c r="B7" s="38" t="s">
        <v>147</v>
      </c>
      <c r="C7" s="40">
        <f>O7</f>
        <v>259</v>
      </c>
      <c r="D7" s="40">
        <f>AB7</f>
        <v>0</v>
      </c>
      <c r="E7" s="64">
        <f>C7+D7</f>
        <v>259</v>
      </c>
      <c r="F7" s="94" t="str">
        <f>IF(S7+AF7=0,"",S7+AF7)</f>
        <v/>
      </c>
      <c r="G7" s="109" t="str">
        <f>IF(F7="","",T7+AG7)</f>
        <v/>
      </c>
      <c r="H7" s="90"/>
      <c r="I7" s="90"/>
      <c r="J7" s="38" t="s">
        <v>147</v>
      </c>
      <c r="K7" s="110">
        <v>23974</v>
      </c>
      <c r="L7" s="110">
        <v>18200</v>
      </c>
      <c r="M7" s="111">
        <f>522+40</f>
        <v>562</v>
      </c>
      <c r="N7" s="111">
        <v>517</v>
      </c>
      <c r="O7" s="70">
        <v>259</v>
      </c>
      <c r="P7" s="40">
        <v>224</v>
      </c>
      <c r="Q7" s="65">
        <f>O7/K7</f>
        <v>1.0803370317844332E-2</v>
      </c>
      <c r="R7" s="40"/>
      <c r="S7" s="40"/>
      <c r="T7" s="108" t="str">
        <f>IF(S7=0,"",S7*$N$35)</f>
        <v/>
      </c>
      <c r="U7" s="50"/>
      <c r="V7" s="50"/>
      <c r="W7" s="134" t="s">
        <v>26</v>
      </c>
      <c r="X7" s="88"/>
      <c r="Y7" s="88">
        <f>X7</f>
        <v>0</v>
      </c>
      <c r="Z7" s="111">
        <f t="shared" ref="Z7:Z26" si="0">X7*Q7*2</f>
        <v>0</v>
      </c>
      <c r="AA7" s="111">
        <f>Z7</f>
        <v>0</v>
      </c>
      <c r="AB7" s="70">
        <f>X7*Q7</f>
        <v>0</v>
      </c>
      <c r="AC7" s="40">
        <f>AB7</f>
        <v>0</v>
      </c>
      <c r="AD7" s="112">
        <v>46.329401999999995</v>
      </c>
      <c r="AE7" s="113">
        <f t="shared" ref="AE7:AE26" si="1">AB7-AD7</f>
        <v>-46.329401999999995</v>
      </c>
      <c r="AF7" s="112"/>
      <c r="AG7" s="114" t="str">
        <f>IF(AF7=0,"",$Y$42*AF7)</f>
        <v/>
      </c>
      <c r="AH7" s="71"/>
      <c r="AJ7" s="89"/>
      <c r="AQ7" s="6"/>
    </row>
    <row r="8" spans="1:43" ht="14.4" x14ac:dyDescent="0.3">
      <c r="A8" s="71"/>
      <c r="B8" s="38" t="s">
        <v>148</v>
      </c>
      <c r="C8" s="40">
        <f t="shared" ref="C8:C25" si="2">O8</f>
        <v>1314</v>
      </c>
      <c r="D8" s="40">
        <f t="shared" ref="D8:D26" si="3">AB8</f>
        <v>0</v>
      </c>
      <c r="E8" s="64">
        <f t="shared" ref="E8:E25" si="4">C8+D8</f>
        <v>1314</v>
      </c>
      <c r="F8" s="94">
        <f t="shared" ref="F8:F26" si="5">IF(S8+AF8=0,"",S8+AF8)</f>
        <v>5771.3069999999998</v>
      </c>
      <c r="G8" s="127">
        <f>T8</f>
        <v>311650.57799999998</v>
      </c>
      <c r="H8" s="90"/>
      <c r="I8" s="90"/>
      <c r="J8" s="38" t="s">
        <v>148</v>
      </c>
      <c r="K8" s="110">
        <v>78350</v>
      </c>
      <c r="L8" s="110">
        <f>SUM(K8-K7)</f>
        <v>54376</v>
      </c>
      <c r="M8" s="111">
        <v>2539</v>
      </c>
      <c r="N8" s="111">
        <f>M8-M7</f>
        <v>1977</v>
      </c>
      <c r="O8" s="70">
        <v>1314</v>
      </c>
      <c r="P8" s="40">
        <f t="shared" ref="P8:P26" si="6">+O8-O7</f>
        <v>1055</v>
      </c>
      <c r="Q8" s="41">
        <f>O8/K8</f>
        <v>1.6770899808551371E-2</v>
      </c>
      <c r="R8" s="42">
        <f t="shared" ref="R8:R26" si="7">K8/K7</f>
        <v>3.2681238007841831</v>
      </c>
      <c r="S8" s="40">
        <f>(O8*$N$34*$N$31)/1000</f>
        <v>5771.3069999999998</v>
      </c>
      <c r="T8" s="125">
        <f>IF(S8=0,"",S8*$N$35)*1000</f>
        <v>311650.57799999998</v>
      </c>
      <c r="U8" s="50"/>
      <c r="V8" s="50"/>
      <c r="W8" s="133" t="s">
        <v>27</v>
      </c>
      <c r="X8" s="88"/>
      <c r="Y8" s="88">
        <f>X8-X7</f>
        <v>0</v>
      </c>
      <c r="Z8" s="111">
        <f t="shared" si="0"/>
        <v>0</v>
      </c>
      <c r="AA8" s="111">
        <f>Z8-Z7</f>
        <v>0</v>
      </c>
      <c r="AB8" s="70">
        <f t="shared" ref="AB8:AB26" si="8">ROUND(X8*Q8,0)</f>
        <v>0</v>
      </c>
      <c r="AC8" s="40">
        <f>AB8-AB7</f>
        <v>0</v>
      </c>
      <c r="AD8" s="112">
        <v>166.31573999999995</v>
      </c>
      <c r="AE8" s="113">
        <f t="shared" si="1"/>
        <v>-166.31573999999995</v>
      </c>
      <c r="AF8" s="112"/>
      <c r="AG8" s="114" t="str">
        <f t="shared" ref="AG8" si="9">IF(AF8=0,"",$Y$42*AF8)</f>
        <v/>
      </c>
      <c r="AH8" s="71"/>
      <c r="AJ8" s="89"/>
      <c r="AQ8" s="6"/>
    </row>
    <row r="9" spans="1:43" ht="14.4" x14ac:dyDescent="0.3">
      <c r="A9" s="71"/>
      <c r="B9" s="133" t="s">
        <v>149</v>
      </c>
      <c r="C9" s="40">
        <f t="shared" si="2"/>
        <v>4586</v>
      </c>
      <c r="D9" s="40">
        <f t="shared" si="3"/>
        <v>17</v>
      </c>
      <c r="E9" s="64">
        <f t="shared" si="4"/>
        <v>4603</v>
      </c>
      <c r="F9" s="94">
        <f t="shared" si="5"/>
        <v>20747.058151515153</v>
      </c>
      <c r="G9" s="127">
        <f t="shared" ref="G9:G26" si="10">IF(F9="","",T9+AG9)</f>
        <v>1095656.0645454549</v>
      </c>
      <c r="H9" s="90"/>
      <c r="I9" s="90"/>
      <c r="J9" s="38" t="s">
        <v>149</v>
      </c>
      <c r="K9" s="110">
        <v>172503</v>
      </c>
      <c r="L9" s="110">
        <f t="shared" ref="L9:L26" si="11">SUM(K9-K8)</f>
        <v>94153</v>
      </c>
      <c r="M9" s="111">
        <v>6377</v>
      </c>
      <c r="N9" s="111">
        <f t="shared" ref="N9:N26" si="12">M9-M8</f>
        <v>3838</v>
      </c>
      <c r="O9" s="70">
        <v>4586</v>
      </c>
      <c r="P9" s="40">
        <f t="shared" si="6"/>
        <v>3272</v>
      </c>
      <c r="Q9" s="41">
        <f t="shared" ref="Q9:Q26" si="13">O9/K9</f>
        <v>2.6585044897769895E-2</v>
      </c>
      <c r="R9" s="42">
        <f t="shared" si="7"/>
        <v>2.2016975111678367</v>
      </c>
      <c r="S9" s="40">
        <f t="shared" ref="S9:S26" si="14">(O9*$N$34*$N$31)/1000</f>
        <v>20142.476333333336</v>
      </c>
      <c r="T9" s="125">
        <f t="shared" ref="T9:T26" si="15">IF(S9=0,"",S9*$N$35)*1000</f>
        <v>1087693.7220000003</v>
      </c>
      <c r="U9" s="50"/>
      <c r="V9" s="50"/>
      <c r="W9" s="135">
        <v>2013</v>
      </c>
      <c r="X9" s="88">
        <f>Rationale!T21</f>
        <v>645</v>
      </c>
      <c r="Y9" s="88">
        <f t="shared" ref="Y9:Y26" si="16">X9-X8</f>
        <v>645</v>
      </c>
      <c r="Z9" s="111">
        <f t="shared" si="0"/>
        <v>34.294707918123166</v>
      </c>
      <c r="AA9" s="111">
        <f t="shared" ref="AA9:AA26" si="17">Z9-Z8</f>
        <v>34.294707918123166</v>
      </c>
      <c r="AB9" s="70">
        <f t="shared" si="8"/>
        <v>17</v>
      </c>
      <c r="AC9" s="40">
        <f t="shared" ref="AC9:AC26" si="18">AB9-AB8</f>
        <v>17</v>
      </c>
      <c r="AD9" s="112">
        <v>419.61001384407393</v>
      </c>
      <c r="AE9" s="113">
        <f t="shared" si="1"/>
        <v>-402.61001384407393</v>
      </c>
      <c r="AF9" s="112">
        <f>(((AB9*$Y$31)*($Y$37/$Y$40)*$Y$34)+((AB9*$Y$32)*($Y$38/$Y$41)*$Y$35))/1000</f>
        <v>604.58181818181833</v>
      </c>
      <c r="AG9" s="126">
        <f>IF(AF9=0,"",$Y$42*AF9)*1000</f>
        <v>7962.3425454545468</v>
      </c>
      <c r="AH9" s="71"/>
      <c r="AQ9" s="6"/>
    </row>
    <row r="10" spans="1:43" ht="14.4" x14ac:dyDescent="0.3">
      <c r="A10" s="71"/>
      <c r="B10" s="133" t="s">
        <v>150</v>
      </c>
      <c r="C10" s="40">
        <f t="shared" si="2"/>
        <v>7460</v>
      </c>
      <c r="D10" s="40">
        <f t="shared" si="3"/>
        <v>28</v>
      </c>
      <c r="E10" s="64">
        <f t="shared" si="4"/>
        <v>7488</v>
      </c>
      <c r="F10" s="94">
        <f t="shared" si="5"/>
        <v>33761.345151515154</v>
      </c>
      <c r="G10" s="127">
        <f t="shared" si="10"/>
        <v>1782454.8665454544</v>
      </c>
      <c r="H10" s="90"/>
      <c r="I10" s="90"/>
      <c r="J10" s="38" t="s">
        <v>150</v>
      </c>
      <c r="K10" s="110">
        <v>288057</v>
      </c>
      <c r="L10" s="110">
        <f t="shared" si="11"/>
        <v>115554</v>
      </c>
      <c r="M10" s="111">
        <v>10068</v>
      </c>
      <c r="N10" s="111">
        <f t="shared" si="12"/>
        <v>3691</v>
      </c>
      <c r="O10" s="70">
        <v>7460</v>
      </c>
      <c r="P10" s="40">
        <f t="shared" si="6"/>
        <v>2874</v>
      </c>
      <c r="Q10" s="41">
        <f t="shared" si="13"/>
        <v>2.5897652200779706E-2</v>
      </c>
      <c r="R10" s="42">
        <f t="shared" si="7"/>
        <v>1.6698666110154605</v>
      </c>
      <c r="S10" s="40">
        <f t="shared" si="14"/>
        <v>32765.563333333335</v>
      </c>
      <c r="T10" s="125">
        <f t="shared" si="15"/>
        <v>1769340.42</v>
      </c>
      <c r="U10" s="50"/>
      <c r="V10" s="50"/>
      <c r="W10" s="135">
        <v>2014</v>
      </c>
      <c r="X10" s="88">
        <f t="shared" ref="X10:X26" si="19">ROUND(X9*R10,0)</f>
        <v>1077</v>
      </c>
      <c r="Y10" s="88">
        <f t="shared" si="16"/>
        <v>432</v>
      </c>
      <c r="Z10" s="111">
        <f t="shared" si="0"/>
        <v>55.783542840479484</v>
      </c>
      <c r="AA10" s="111">
        <f t="shared" si="17"/>
        <v>21.488834922356318</v>
      </c>
      <c r="AB10" s="70">
        <f t="shared" si="8"/>
        <v>28</v>
      </c>
      <c r="AC10" s="40">
        <f t="shared" si="18"/>
        <v>11</v>
      </c>
      <c r="AD10" s="112">
        <v>913.85954735316068</v>
      </c>
      <c r="AE10" s="113">
        <f t="shared" si="1"/>
        <v>-885.85954735316068</v>
      </c>
      <c r="AF10" s="112">
        <f t="shared" ref="AF10:AF26" si="20">(((AB10*$Y$31)*($Y$37/$Y$40)*$Y$34)+((AB10*$Y$32)*($Y$38/$Y$41)*$Y$35))/1000</f>
        <v>995.78181818181838</v>
      </c>
      <c r="AG10" s="126">
        <f t="shared" ref="AG10:AG26" si="21">IF(AF10=0,"",$Y$42*AF10)*1000</f>
        <v>13114.446545454548</v>
      </c>
      <c r="AH10" s="71"/>
      <c r="AQ10" s="6"/>
    </row>
    <row r="11" spans="1:43" ht="14.4" x14ac:dyDescent="0.3">
      <c r="A11" s="71"/>
      <c r="B11" s="39">
        <v>2015</v>
      </c>
      <c r="C11" s="40">
        <f t="shared" si="2"/>
        <v>10426.802399999999</v>
      </c>
      <c r="D11" s="40">
        <f t="shared" si="3"/>
        <v>39</v>
      </c>
      <c r="E11" s="64">
        <f t="shared" si="4"/>
        <v>10465.802399999999</v>
      </c>
      <c r="F11" s="94">
        <f t="shared" si="5"/>
        <v>47183.235759381816</v>
      </c>
      <c r="G11" s="127">
        <f t="shared" si="10"/>
        <v>2491264.2633702541</v>
      </c>
      <c r="H11" s="90"/>
      <c r="I11" s="90"/>
      <c r="J11" s="39">
        <v>2015</v>
      </c>
      <c r="K11" s="110">
        <v>413762</v>
      </c>
      <c r="L11" s="110">
        <f t="shared" si="11"/>
        <v>125705</v>
      </c>
      <c r="M11" s="111">
        <f t="shared" ref="M11:M26" si="22">SUM(K11*0.036)</f>
        <v>14895.431999999999</v>
      </c>
      <c r="N11" s="111">
        <f t="shared" si="12"/>
        <v>4827.4319999999989</v>
      </c>
      <c r="O11" s="70">
        <f>SUM(M11*0.7)</f>
        <v>10426.802399999999</v>
      </c>
      <c r="P11" s="40">
        <f t="shared" si="6"/>
        <v>2966.8023999999987</v>
      </c>
      <c r="Q11" s="41">
        <f t="shared" si="13"/>
        <v>2.5199999999999997E-2</v>
      </c>
      <c r="R11" s="42">
        <f t="shared" si="7"/>
        <v>1.4363893257237283</v>
      </c>
      <c r="S11" s="40">
        <f t="shared" si="14"/>
        <v>45796.253941199997</v>
      </c>
      <c r="T11" s="125">
        <f t="shared" si="15"/>
        <v>2472997.7128247996</v>
      </c>
      <c r="U11" s="50"/>
      <c r="V11" s="50"/>
      <c r="W11" s="39">
        <v>2015</v>
      </c>
      <c r="X11" s="88">
        <f t="shared" si="19"/>
        <v>1547</v>
      </c>
      <c r="Y11" s="88">
        <f t="shared" si="16"/>
        <v>470</v>
      </c>
      <c r="Z11" s="111">
        <f t="shared" si="0"/>
        <v>77.968799999999987</v>
      </c>
      <c r="AA11" s="111">
        <f t="shared" si="17"/>
        <v>22.185257159520503</v>
      </c>
      <c r="AB11" s="70">
        <f t="shared" si="8"/>
        <v>39</v>
      </c>
      <c r="AC11" s="40">
        <f t="shared" si="18"/>
        <v>11</v>
      </c>
      <c r="AD11" s="112">
        <v>1805.1798101461145</v>
      </c>
      <c r="AE11" s="113">
        <f t="shared" si="1"/>
        <v>-1766.1798101461145</v>
      </c>
      <c r="AF11" s="112">
        <f t="shared" si="20"/>
        <v>1386.9818181818184</v>
      </c>
      <c r="AG11" s="126">
        <f t="shared" si="21"/>
        <v>18266.550545454549</v>
      </c>
      <c r="AH11" s="71"/>
      <c r="AQ11" s="6"/>
    </row>
    <row r="12" spans="1:43" ht="14.4" x14ac:dyDescent="0.3">
      <c r="A12" s="71"/>
      <c r="B12" s="39">
        <v>2016</v>
      </c>
      <c r="C12" s="40">
        <f t="shared" si="2"/>
        <v>15416.402399999997</v>
      </c>
      <c r="D12" s="40">
        <f t="shared" si="3"/>
        <v>58</v>
      </c>
      <c r="E12" s="64">
        <f t="shared" si="4"/>
        <v>15474.402399999997</v>
      </c>
      <c r="F12" s="94">
        <f t="shared" si="5"/>
        <v>69774.099650290882</v>
      </c>
      <c r="G12" s="127">
        <f t="shared" si="10"/>
        <v>3683581.711297526</v>
      </c>
      <c r="H12" s="90"/>
      <c r="I12" s="90"/>
      <c r="J12" s="39">
        <v>2016</v>
      </c>
      <c r="K12" s="110">
        <v>611762</v>
      </c>
      <c r="L12" s="110">
        <f t="shared" si="11"/>
        <v>198000</v>
      </c>
      <c r="M12" s="111">
        <f t="shared" si="22"/>
        <v>22023.431999999997</v>
      </c>
      <c r="N12" s="111">
        <f t="shared" si="12"/>
        <v>7127.9999999999982</v>
      </c>
      <c r="O12" s="70">
        <f t="shared" ref="O12:O25" si="23">SUM(M12*0.7)</f>
        <v>15416.402399999997</v>
      </c>
      <c r="P12" s="40">
        <f t="shared" si="6"/>
        <v>4989.5999999999985</v>
      </c>
      <c r="Q12" s="41">
        <f t="shared" si="13"/>
        <v>2.5199999999999997E-2</v>
      </c>
      <c r="R12" s="42">
        <f t="shared" si="7"/>
        <v>1.4785359699537415</v>
      </c>
      <c r="S12" s="40">
        <f t="shared" si="14"/>
        <v>67711.408741199979</v>
      </c>
      <c r="T12" s="125">
        <f t="shared" si="15"/>
        <v>3656416.072024799</v>
      </c>
      <c r="U12" s="50"/>
      <c r="V12" s="50"/>
      <c r="W12" s="39">
        <v>2016</v>
      </c>
      <c r="X12" s="88">
        <f t="shared" si="19"/>
        <v>2287</v>
      </c>
      <c r="Y12" s="88">
        <f t="shared" si="16"/>
        <v>740</v>
      </c>
      <c r="Z12" s="111">
        <f t="shared" si="0"/>
        <v>115.26479999999998</v>
      </c>
      <c r="AA12" s="111">
        <f t="shared" si="17"/>
        <v>37.295999999999992</v>
      </c>
      <c r="AB12" s="70">
        <f t="shared" si="8"/>
        <v>58</v>
      </c>
      <c r="AC12" s="40">
        <f t="shared" si="18"/>
        <v>19</v>
      </c>
      <c r="AD12" s="112">
        <v>2945.3630199097643</v>
      </c>
      <c r="AE12" s="113">
        <f t="shared" si="1"/>
        <v>-2887.3630199097643</v>
      </c>
      <c r="AF12" s="112">
        <f t="shared" si="20"/>
        <v>2062.6909090909098</v>
      </c>
      <c r="AG12" s="126">
        <f t="shared" si="21"/>
        <v>27165.63927272728</v>
      </c>
      <c r="AH12" s="71"/>
      <c r="AQ12" s="6"/>
    </row>
    <row r="13" spans="1:43" ht="14.4" x14ac:dyDescent="0.3">
      <c r="A13" s="71"/>
      <c r="B13" s="39">
        <v>2017</v>
      </c>
      <c r="C13" s="40">
        <f t="shared" si="2"/>
        <v>23595.037199999995</v>
      </c>
      <c r="D13" s="40">
        <f t="shared" si="3"/>
        <v>88</v>
      </c>
      <c r="E13" s="64">
        <f t="shared" si="4"/>
        <v>23683.037199999995</v>
      </c>
      <c r="F13" s="94">
        <f t="shared" si="5"/>
        <v>106762.93588859997</v>
      </c>
      <c r="G13" s="127">
        <f t="shared" si="10"/>
        <v>5637416.9699843982</v>
      </c>
      <c r="H13" s="90"/>
      <c r="I13" s="90"/>
      <c r="J13" s="39">
        <v>2017</v>
      </c>
      <c r="K13" s="110">
        <v>936311</v>
      </c>
      <c r="L13" s="110">
        <f t="shared" si="11"/>
        <v>324549</v>
      </c>
      <c r="M13" s="111">
        <f t="shared" si="22"/>
        <v>33707.195999999996</v>
      </c>
      <c r="N13" s="111">
        <f t="shared" si="12"/>
        <v>11683.763999999999</v>
      </c>
      <c r="O13" s="70">
        <f t="shared" si="23"/>
        <v>23595.037199999995</v>
      </c>
      <c r="P13" s="40">
        <f t="shared" si="6"/>
        <v>8178.634799999998</v>
      </c>
      <c r="Q13" s="41">
        <f t="shared" si="13"/>
        <v>2.5199999999999993E-2</v>
      </c>
      <c r="R13" s="42">
        <f t="shared" si="7"/>
        <v>1.5305151349707893</v>
      </c>
      <c r="S13" s="40">
        <f t="shared" si="14"/>
        <v>103633.33588859996</v>
      </c>
      <c r="T13" s="125">
        <f t="shared" si="15"/>
        <v>5596200.1379843978</v>
      </c>
      <c r="U13" s="50"/>
      <c r="V13" s="50"/>
      <c r="W13" s="39">
        <v>2017</v>
      </c>
      <c r="X13" s="88">
        <f t="shared" si="19"/>
        <v>3500</v>
      </c>
      <c r="Y13" s="88">
        <f t="shared" si="16"/>
        <v>1213</v>
      </c>
      <c r="Z13" s="111">
        <f t="shared" si="0"/>
        <v>176.39999999999995</v>
      </c>
      <c r="AA13" s="111">
        <f t="shared" si="17"/>
        <v>61.135199999999969</v>
      </c>
      <c r="AB13" s="70">
        <f t="shared" si="8"/>
        <v>88</v>
      </c>
      <c r="AC13" s="40">
        <f t="shared" si="18"/>
        <v>30</v>
      </c>
      <c r="AD13" s="112">
        <v>4217.4096999097646</v>
      </c>
      <c r="AE13" s="113">
        <f t="shared" si="1"/>
        <v>-4129.4096999097646</v>
      </c>
      <c r="AF13" s="112">
        <f t="shared" si="20"/>
        <v>3129.6000000000004</v>
      </c>
      <c r="AG13" s="126">
        <f t="shared" si="21"/>
        <v>41216.832000000002</v>
      </c>
      <c r="AH13" s="71"/>
      <c r="AQ13" s="6"/>
    </row>
    <row r="14" spans="1:43" ht="14.4" x14ac:dyDescent="0.3">
      <c r="A14" s="71"/>
      <c r="B14" s="39">
        <v>2018</v>
      </c>
      <c r="C14" s="40">
        <f t="shared" si="2"/>
        <v>40881.707999999991</v>
      </c>
      <c r="D14" s="40">
        <f t="shared" si="3"/>
        <v>153</v>
      </c>
      <c r="E14" s="64">
        <f t="shared" si="4"/>
        <v>41034.707999999991</v>
      </c>
      <c r="F14" s="94">
        <f t="shared" si="5"/>
        <v>185000.5115176363</v>
      </c>
      <c r="G14" s="127">
        <f t="shared" si="10"/>
        <v>9767861.9412250873</v>
      </c>
      <c r="H14" s="90"/>
      <c r="I14" s="90"/>
      <c r="J14" s="39">
        <v>2018</v>
      </c>
      <c r="K14" s="110">
        <v>1622290</v>
      </c>
      <c r="L14" s="110">
        <f t="shared" si="11"/>
        <v>685979</v>
      </c>
      <c r="M14" s="111">
        <f>SUM(K14*0.036)</f>
        <v>58402.439999999995</v>
      </c>
      <c r="N14" s="111">
        <f t="shared" si="12"/>
        <v>24695.243999999999</v>
      </c>
      <c r="O14" s="70">
        <f t="shared" si="23"/>
        <v>40881.707999999991</v>
      </c>
      <c r="P14" s="40">
        <f t="shared" si="6"/>
        <v>17286.670799999996</v>
      </c>
      <c r="Q14" s="41">
        <f t="shared" si="13"/>
        <v>2.5199999999999993E-2</v>
      </c>
      <c r="R14" s="42">
        <f t="shared" si="7"/>
        <v>1.7326401163715901</v>
      </c>
      <c r="S14" s="40">
        <f t="shared" si="14"/>
        <v>179559.27515399994</v>
      </c>
      <c r="T14" s="125">
        <f t="shared" si="15"/>
        <v>9696200.8583159968</v>
      </c>
      <c r="U14" s="50"/>
      <c r="V14" s="50"/>
      <c r="W14" s="39">
        <v>2018</v>
      </c>
      <c r="X14" s="88">
        <f t="shared" si="19"/>
        <v>6064</v>
      </c>
      <c r="Y14" s="88">
        <f t="shared" si="16"/>
        <v>2564</v>
      </c>
      <c r="Z14" s="111">
        <f t="shared" si="0"/>
        <v>305.62559999999991</v>
      </c>
      <c r="AA14" s="111">
        <f t="shared" si="17"/>
        <v>129.22559999999996</v>
      </c>
      <c r="AB14" s="70">
        <f t="shared" si="8"/>
        <v>153</v>
      </c>
      <c r="AC14" s="40">
        <f t="shared" si="18"/>
        <v>65</v>
      </c>
      <c r="AD14" s="112">
        <v>5872.5131865764306</v>
      </c>
      <c r="AE14" s="113">
        <f t="shared" si="1"/>
        <v>-5719.5131865764306</v>
      </c>
      <c r="AF14" s="112">
        <f t="shared" si="20"/>
        <v>5441.2363636363643</v>
      </c>
      <c r="AG14" s="126">
        <f t="shared" si="21"/>
        <v>71661.082909090925</v>
      </c>
      <c r="AH14" s="71"/>
      <c r="AQ14" s="6"/>
    </row>
    <row r="15" spans="1:43" ht="14.4" x14ac:dyDescent="0.3">
      <c r="A15" s="71"/>
      <c r="B15" s="39">
        <v>2019</v>
      </c>
      <c r="C15" s="40">
        <f t="shared" si="2"/>
        <v>61322.561999999991</v>
      </c>
      <c r="D15" s="40">
        <f t="shared" si="3"/>
        <v>229</v>
      </c>
      <c r="E15" s="64">
        <f t="shared" si="4"/>
        <v>61551.561999999991</v>
      </c>
      <c r="F15" s="94">
        <f t="shared" si="5"/>
        <v>277482.98545827268</v>
      </c>
      <c r="G15" s="127">
        <f t="shared" si="10"/>
        <v>14651558.725292178</v>
      </c>
      <c r="H15" s="90"/>
      <c r="I15" s="90"/>
      <c r="J15" s="39">
        <v>2019</v>
      </c>
      <c r="K15" s="110">
        <v>2433435</v>
      </c>
      <c r="L15" s="110">
        <f t="shared" si="11"/>
        <v>811145</v>
      </c>
      <c r="M15" s="111">
        <f>SUM(K15*0.036)</f>
        <v>87603.659999999989</v>
      </c>
      <c r="N15" s="111">
        <f t="shared" si="12"/>
        <v>29201.219999999994</v>
      </c>
      <c r="O15" s="70">
        <f t="shared" si="23"/>
        <v>61322.561999999991</v>
      </c>
      <c r="P15" s="40">
        <f t="shared" si="6"/>
        <v>20440.853999999999</v>
      </c>
      <c r="Q15" s="41">
        <f t="shared" si="13"/>
        <v>2.5199999999999997E-2</v>
      </c>
      <c r="R15" s="42">
        <f t="shared" si="7"/>
        <v>1.5</v>
      </c>
      <c r="S15" s="40">
        <f t="shared" si="14"/>
        <v>269338.91273099993</v>
      </c>
      <c r="T15" s="125">
        <f t="shared" si="15"/>
        <v>14544301.287473995</v>
      </c>
      <c r="U15" s="50"/>
      <c r="V15" s="50"/>
      <c r="W15" s="39">
        <v>2019</v>
      </c>
      <c r="X15" s="88">
        <f t="shared" si="19"/>
        <v>9096</v>
      </c>
      <c r="Y15" s="88">
        <f t="shared" si="16"/>
        <v>3032</v>
      </c>
      <c r="Z15" s="111">
        <f t="shared" si="0"/>
        <v>458.43839999999994</v>
      </c>
      <c r="AA15" s="111">
        <f t="shared" si="17"/>
        <v>152.81280000000004</v>
      </c>
      <c r="AB15" s="70">
        <f t="shared" si="8"/>
        <v>229</v>
      </c>
      <c r="AC15" s="40">
        <f t="shared" si="18"/>
        <v>76</v>
      </c>
      <c r="AD15" s="112">
        <v>7851.0666032430972</v>
      </c>
      <c r="AE15" s="113">
        <f t="shared" si="1"/>
        <v>-7622.0666032430972</v>
      </c>
      <c r="AF15" s="112">
        <f t="shared" si="20"/>
        <v>8144.0727272727272</v>
      </c>
      <c r="AG15" s="126">
        <f t="shared" si="21"/>
        <v>107257.43781818182</v>
      </c>
      <c r="AH15" s="71"/>
      <c r="AQ15" s="6"/>
    </row>
    <row r="16" spans="1:43" ht="14.4" x14ac:dyDescent="0.3">
      <c r="A16" s="71"/>
      <c r="B16" s="39">
        <v>2020</v>
      </c>
      <c r="C16" s="40">
        <f t="shared" si="2"/>
        <v>82785.458699999988</v>
      </c>
      <c r="D16" s="40">
        <f t="shared" si="3"/>
        <v>309</v>
      </c>
      <c r="E16" s="64">
        <f t="shared" si="4"/>
        <v>83094.458699999988</v>
      </c>
      <c r="F16" s="94">
        <f t="shared" si="5"/>
        <v>374596.69582321361</v>
      </c>
      <c r="G16" s="127">
        <f t="shared" si="10"/>
        <v>19779534.023180805</v>
      </c>
      <c r="H16" s="90"/>
      <c r="I16" s="90"/>
      <c r="J16" s="39">
        <v>2020</v>
      </c>
      <c r="K16" s="110">
        <v>3285137.25</v>
      </c>
      <c r="L16" s="110">
        <f t="shared" si="11"/>
        <v>851702.25</v>
      </c>
      <c r="M16" s="111">
        <f>SUM(K16*0.036)</f>
        <v>118264.94099999999</v>
      </c>
      <c r="N16" s="111">
        <f t="shared" si="12"/>
        <v>30661.281000000003</v>
      </c>
      <c r="O16" s="70">
        <f t="shared" si="23"/>
        <v>82785.458699999988</v>
      </c>
      <c r="P16" s="40">
        <f t="shared" si="6"/>
        <v>21462.896699999998</v>
      </c>
      <c r="Q16" s="41">
        <f t="shared" si="13"/>
        <v>2.5199999999999997E-2</v>
      </c>
      <c r="R16" s="42">
        <f t="shared" si="7"/>
        <v>1.35</v>
      </c>
      <c r="S16" s="40">
        <f t="shared" si="14"/>
        <v>363607.53218684997</v>
      </c>
      <c r="T16" s="125">
        <f t="shared" si="15"/>
        <v>19634806.738089897</v>
      </c>
      <c r="U16" s="50"/>
      <c r="V16" s="50"/>
      <c r="W16" s="39">
        <v>2020</v>
      </c>
      <c r="X16" s="88">
        <f t="shared" si="19"/>
        <v>12280</v>
      </c>
      <c r="Y16" s="88">
        <f t="shared" si="16"/>
        <v>3184</v>
      </c>
      <c r="Z16" s="111">
        <f t="shared" si="0"/>
        <v>618.91199999999992</v>
      </c>
      <c r="AA16" s="111">
        <f t="shared" si="17"/>
        <v>160.47359999999998</v>
      </c>
      <c r="AB16" s="70">
        <f t="shared" si="8"/>
        <v>309</v>
      </c>
      <c r="AC16" s="40">
        <f t="shared" si="18"/>
        <v>80</v>
      </c>
      <c r="AD16" s="112">
        <v>10286.229003243097</v>
      </c>
      <c r="AE16" s="113">
        <f t="shared" si="1"/>
        <v>-9977.2290032430974</v>
      </c>
      <c r="AF16" s="112">
        <f t="shared" si="20"/>
        <v>10989.163636363637</v>
      </c>
      <c r="AG16" s="126">
        <f t="shared" si="21"/>
        <v>144727.28509090911</v>
      </c>
      <c r="AH16" s="71"/>
      <c r="AQ16" s="6"/>
    </row>
    <row r="17" spans="1:43" ht="14.4" x14ac:dyDescent="0.3">
      <c r="A17" s="71"/>
      <c r="B17" s="39">
        <v>2021</v>
      </c>
      <c r="C17" s="40">
        <f t="shared" si="2"/>
        <v>107621.09630999999</v>
      </c>
      <c r="D17" s="40">
        <f t="shared" si="3"/>
        <v>402</v>
      </c>
      <c r="E17" s="64">
        <f t="shared" si="4"/>
        <v>108023.09630999999</v>
      </c>
      <c r="F17" s="94">
        <f t="shared" si="5"/>
        <v>486986.37366108678</v>
      </c>
      <c r="G17" s="127">
        <f t="shared" si="10"/>
        <v>25713534.742062323</v>
      </c>
      <c r="H17" s="90"/>
      <c r="I17" s="90"/>
      <c r="J17" s="39">
        <v>2021</v>
      </c>
      <c r="K17" s="110">
        <v>4270678.4249999998</v>
      </c>
      <c r="L17" s="110">
        <f t="shared" si="11"/>
        <v>985541.17499999981</v>
      </c>
      <c r="M17" s="111">
        <f>SUM(K17*0.036)</f>
        <v>153744.42329999999</v>
      </c>
      <c r="N17" s="111">
        <f t="shared" si="12"/>
        <v>35479.482300000003</v>
      </c>
      <c r="O17" s="70">
        <f t="shared" si="23"/>
        <v>107621.09630999999</v>
      </c>
      <c r="P17" s="40">
        <f t="shared" si="6"/>
        <v>24835.637610000005</v>
      </c>
      <c r="Q17" s="41">
        <f t="shared" si="13"/>
        <v>2.52E-2</v>
      </c>
      <c r="R17" s="42">
        <f t="shared" si="7"/>
        <v>1.3</v>
      </c>
      <c r="S17" s="40">
        <f t="shared" si="14"/>
        <v>472689.79184290493</v>
      </c>
      <c r="T17" s="125">
        <f t="shared" si="15"/>
        <v>25525248.759516869</v>
      </c>
      <c r="U17" s="50"/>
      <c r="V17" s="50"/>
      <c r="W17" s="39">
        <v>2021</v>
      </c>
      <c r="X17" s="88">
        <f t="shared" si="19"/>
        <v>15964</v>
      </c>
      <c r="Y17" s="88">
        <f t="shared" si="16"/>
        <v>3684</v>
      </c>
      <c r="Z17" s="111">
        <f t="shared" si="0"/>
        <v>804.5856</v>
      </c>
      <c r="AA17" s="111">
        <f t="shared" si="17"/>
        <v>185.67360000000008</v>
      </c>
      <c r="AB17" s="70">
        <f t="shared" si="8"/>
        <v>402</v>
      </c>
      <c r="AC17" s="40">
        <f t="shared" si="18"/>
        <v>93</v>
      </c>
      <c r="AD17" s="112">
        <v>13208.423883243096</v>
      </c>
      <c r="AE17" s="113">
        <f t="shared" si="1"/>
        <v>-12806.423883243096</v>
      </c>
      <c r="AF17" s="112">
        <f t="shared" si="20"/>
        <v>14296.581818181819</v>
      </c>
      <c r="AG17" s="126">
        <f t="shared" si="21"/>
        <v>188285.98254545455</v>
      </c>
      <c r="AH17" s="71"/>
      <c r="AQ17" s="6"/>
    </row>
    <row r="18" spans="1:43" ht="14.4" x14ac:dyDescent="0.3">
      <c r="A18" s="71"/>
      <c r="B18" s="39">
        <v>2022</v>
      </c>
      <c r="C18" s="40">
        <f t="shared" si="2"/>
        <v>134526.37038749998</v>
      </c>
      <c r="D18" s="40">
        <f t="shared" si="3"/>
        <v>503</v>
      </c>
      <c r="E18" s="64">
        <f t="shared" si="4"/>
        <v>135029.37038749998</v>
      </c>
      <c r="F18" s="94">
        <f t="shared" si="5"/>
        <v>608750.74889454036</v>
      </c>
      <c r="G18" s="127">
        <f t="shared" si="10"/>
        <v>32142152.614123359</v>
      </c>
      <c r="H18" s="90"/>
      <c r="I18" s="90"/>
      <c r="J18" s="39">
        <v>2022</v>
      </c>
      <c r="K18" s="110">
        <v>5338348.03125</v>
      </c>
      <c r="L18" s="110">
        <f t="shared" si="11"/>
        <v>1067669.6062500002</v>
      </c>
      <c r="M18" s="111">
        <f>SUM(K18*0.036)</f>
        <v>192180.52912499997</v>
      </c>
      <c r="N18" s="111">
        <f t="shared" si="12"/>
        <v>38436.105824999977</v>
      </c>
      <c r="O18" s="70">
        <f t="shared" si="23"/>
        <v>134526.37038749998</v>
      </c>
      <c r="P18" s="40">
        <f t="shared" si="6"/>
        <v>26905.274077499984</v>
      </c>
      <c r="Q18" s="41">
        <f t="shared" si="13"/>
        <v>2.5199999999999997E-2</v>
      </c>
      <c r="R18" s="42">
        <f t="shared" si="7"/>
        <v>1.25</v>
      </c>
      <c r="S18" s="40">
        <f t="shared" si="14"/>
        <v>590862.23980363121</v>
      </c>
      <c r="T18" s="125">
        <f t="shared" si="15"/>
        <v>31906560.949396085</v>
      </c>
      <c r="U18" s="50"/>
      <c r="V18" s="50"/>
      <c r="W18" s="39">
        <v>2022</v>
      </c>
      <c r="X18" s="88">
        <f t="shared" si="19"/>
        <v>19955</v>
      </c>
      <c r="Y18" s="88">
        <f t="shared" si="16"/>
        <v>3991</v>
      </c>
      <c r="Z18" s="111">
        <f t="shared" si="0"/>
        <v>1005.7319999999999</v>
      </c>
      <c r="AA18" s="111">
        <f t="shared" si="17"/>
        <v>201.14639999999986</v>
      </c>
      <c r="AB18" s="70">
        <f t="shared" si="8"/>
        <v>503</v>
      </c>
      <c r="AC18" s="40">
        <f t="shared" si="18"/>
        <v>101</v>
      </c>
      <c r="AD18" s="112">
        <v>16715.057739243097</v>
      </c>
      <c r="AE18" s="113">
        <f t="shared" si="1"/>
        <v>-16212.057739243097</v>
      </c>
      <c r="AF18" s="112">
        <f t="shared" si="20"/>
        <v>17888.509090909094</v>
      </c>
      <c r="AG18" s="126">
        <f t="shared" si="21"/>
        <v>235591.66472727276</v>
      </c>
      <c r="AH18" s="71"/>
      <c r="AQ18" s="6"/>
    </row>
    <row r="19" spans="1:43" ht="14.4" x14ac:dyDescent="0.3">
      <c r="A19" s="71"/>
      <c r="B19" s="39">
        <v>2023</v>
      </c>
      <c r="C19" s="40">
        <f t="shared" si="2"/>
        <v>166812.69928049998</v>
      </c>
      <c r="D19" s="40">
        <f t="shared" si="3"/>
        <v>624</v>
      </c>
      <c r="E19" s="64">
        <f t="shared" si="4"/>
        <v>167436.69928049998</v>
      </c>
      <c r="F19" s="94">
        <f t="shared" si="5"/>
        <v>754860.88644741173</v>
      </c>
      <c r="G19" s="127">
        <f t="shared" si="10"/>
        <v>39856400.385978408</v>
      </c>
      <c r="H19" s="90"/>
      <c r="I19" s="90"/>
      <c r="J19" s="39">
        <v>2023</v>
      </c>
      <c r="K19" s="110">
        <v>6619551.5587499999</v>
      </c>
      <c r="L19" s="110">
        <f t="shared" si="11"/>
        <v>1281203.5274999999</v>
      </c>
      <c r="M19" s="111">
        <f t="shared" si="22"/>
        <v>238303.85611499997</v>
      </c>
      <c r="N19" s="111">
        <f t="shared" si="12"/>
        <v>46123.326990000001</v>
      </c>
      <c r="O19" s="70">
        <f t="shared" si="23"/>
        <v>166812.69928049998</v>
      </c>
      <c r="P19" s="40">
        <f t="shared" si="6"/>
        <v>32286.328892999998</v>
      </c>
      <c r="Q19" s="41">
        <f t="shared" si="13"/>
        <v>2.5199999999999997E-2</v>
      </c>
      <c r="R19" s="42">
        <f t="shared" si="7"/>
        <v>1.24</v>
      </c>
      <c r="S19" s="40">
        <f t="shared" si="14"/>
        <v>732669.17735650262</v>
      </c>
      <c r="T19" s="125">
        <f t="shared" si="15"/>
        <v>39564135.577251136</v>
      </c>
      <c r="U19" s="50"/>
      <c r="V19" s="50"/>
      <c r="W19" s="39">
        <v>2023</v>
      </c>
      <c r="X19" s="88">
        <f t="shared" si="19"/>
        <v>24744</v>
      </c>
      <c r="Y19" s="88">
        <f t="shared" si="16"/>
        <v>4789</v>
      </c>
      <c r="Z19" s="111">
        <f t="shared" si="0"/>
        <v>1247.0975999999998</v>
      </c>
      <c r="AA19" s="111">
        <f t="shared" si="17"/>
        <v>241.36559999999997</v>
      </c>
      <c r="AB19" s="70">
        <f t="shared" si="8"/>
        <v>624</v>
      </c>
      <c r="AC19" s="40">
        <f t="shared" si="18"/>
        <v>121</v>
      </c>
      <c r="AD19" s="112">
        <v>20923.018366443099</v>
      </c>
      <c r="AE19" s="113">
        <f t="shared" si="1"/>
        <v>-20299.018366443099</v>
      </c>
      <c r="AF19" s="112">
        <f t="shared" si="20"/>
        <v>22191.709090909095</v>
      </c>
      <c r="AG19" s="126">
        <f t="shared" si="21"/>
        <v>292264.80872727279</v>
      </c>
      <c r="AH19" s="71"/>
      <c r="AQ19" s="6"/>
    </row>
    <row r="20" spans="1:43" ht="14.4" x14ac:dyDescent="0.3">
      <c r="A20" s="71"/>
      <c r="B20" s="39">
        <v>2024</v>
      </c>
      <c r="C20" s="40">
        <f t="shared" si="2"/>
        <v>208515.87410062499</v>
      </c>
      <c r="D20" s="40">
        <f t="shared" si="3"/>
        <v>779</v>
      </c>
      <c r="E20" s="64">
        <f t="shared" si="4"/>
        <v>209294.87410062499</v>
      </c>
      <c r="F20" s="94">
        <f t="shared" si="5"/>
        <v>943540.544422901</v>
      </c>
      <c r="G20" s="127">
        <f t="shared" si="10"/>
        <v>49820032.109382108</v>
      </c>
      <c r="H20" s="90"/>
      <c r="I20" s="90"/>
      <c r="J20" s="39">
        <v>2024</v>
      </c>
      <c r="K20" s="110">
        <v>8274439.4484374998</v>
      </c>
      <c r="L20" s="110">
        <f t="shared" si="11"/>
        <v>1654887.8896875</v>
      </c>
      <c r="M20" s="111">
        <f t="shared" si="22"/>
        <v>297879.82014375</v>
      </c>
      <c r="N20" s="111">
        <f t="shared" si="12"/>
        <v>59575.964028750022</v>
      </c>
      <c r="O20" s="70">
        <f t="shared" si="23"/>
        <v>208515.87410062499</v>
      </c>
      <c r="P20" s="40">
        <f t="shared" si="6"/>
        <v>41703.174820125016</v>
      </c>
      <c r="Q20" s="41">
        <f t="shared" si="13"/>
        <v>2.52E-2</v>
      </c>
      <c r="R20" s="42">
        <f t="shared" si="7"/>
        <v>1.25</v>
      </c>
      <c r="S20" s="40">
        <f t="shared" si="14"/>
        <v>915836.47169562825</v>
      </c>
      <c r="T20" s="125">
        <f t="shared" si="15"/>
        <v>49455169.471563928</v>
      </c>
      <c r="U20" s="50"/>
      <c r="V20" s="50"/>
      <c r="W20" s="39">
        <v>2024</v>
      </c>
      <c r="X20" s="88">
        <f t="shared" si="19"/>
        <v>30930</v>
      </c>
      <c r="Y20" s="88">
        <f t="shared" si="16"/>
        <v>6186</v>
      </c>
      <c r="Z20" s="111">
        <f t="shared" si="0"/>
        <v>1558.8720000000001</v>
      </c>
      <c r="AA20" s="111">
        <f t="shared" si="17"/>
        <v>311.77440000000024</v>
      </c>
      <c r="AB20" s="70">
        <f t="shared" si="8"/>
        <v>779</v>
      </c>
      <c r="AC20" s="40">
        <f t="shared" si="18"/>
        <v>155</v>
      </c>
      <c r="AD20" s="112">
        <v>25972.571119083099</v>
      </c>
      <c r="AE20" s="113">
        <f t="shared" si="1"/>
        <v>-25193.571119083099</v>
      </c>
      <c r="AF20" s="112">
        <f t="shared" si="20"/>
        <v>27704.072727272731</v>
      </c>
      <c r="AG20" s="126">
        <f t="shared" si="21"/>
        <v>364862.63781818183</v>
      </c>
      <c r="AH20" s="71"/>
      <c r="AQ20" s="6"/>
    </row>
    <row r="21" spans="1:43" ht="14.4" x14ac:dyDescent="0.3">
      <c r="A21" s="71"/>
      <c r="B21" s="39">
        <v>2025</v>
      </c>
      <c r="C21" s="40">
        <f t="shared" si="2"/>
        <v>250219.04892074995</v>
      </c>
      <c r="D21" s="40">
        <f t="shared" si="3"/>
        <v>935</v>
      </c>
      <c r="E21" s="64">
        <f t="shared" si="4"/>
        <v>251154.04892074995</v>
      </c>
      <c r="F21" s="94">
        <f t="shared" si="5"/>
        <v>1132255.7660347538</v>
      </c>
      <c r="G21" s="127">
        <f t="shared" si="10"/>
        <v>59784132.205876708</v>
      </c>
      <c r="H21" s="90"/>
      <c r="I21" s="90"/>
      <c r="J21" s="39">
        <v>2025</v>
      </c>
      <c r="K21" s="110">
        <v>9929327.3381249998</v>
      </c>
      <c r="L21" s="110">
        <f t="shared" si="11"/>
        <v>1654887.8896875</v>
      </c>
      <c r="M21" s="111">
        <f t="shared" si="22"/>
        <v>357455.78417249996</v>
      </c>
      <c r="N21" s="111">
        <f t="shared" si="12"/>
        <v>59575.964028749964</v>
      </c>
      <c r="O21" s="70">
        <f t="shared" si="23"/>
        <v>250219.04892074995</v>
      </c>
      <c r="P21" s="40">
        <f t="shared" si="6"/>
        <v>41703.174820124957</v>
      </c>
      <c r="Q21" s="41">
        <f t="shared" si="13"/>
        <v>2.5199999999999997E-2</v>
      </c>
      <c r="R21" s="42">
        <f t="shared" si="7"/>
        <v>1.2</v>
      </c>
      <c r="S21" s="40">
        <f t="shared" si="14"/>
        <v>1099003.7660347538</v>
      </c>
      <c r="T21" s="125">
        <f t="shared" si="15"/>
        <v>59346203.365876704</v>
      </c>
      <c r="U21" s="50"/>
      <c r="V21" s="50"/>
      <c r="W21" s="39">
        <v>2025</v>
      </c>
      <c r="X21" s="88">
        <f t="shared" si="19"/>
        <v>37116</v>
      </c>
      <c r="Y21" s="88">
        <f t="shared" si="16"/>
        <v>6186</v>
      </c>
      <c r="Z21" s="111">
        <f t="shared" si="0"/>
        <v>1870.6463999999999</v>
      </c>
      <c r="AA21" s="111">
        <f t="shared" si="17"/>
        <v>311.77439999999979</v>
      </c>
      <c r="AB21" s="70">
        <f t="shared" si="8"/>
        <v>935</v>
      </c>
      <c r="AC21" s="40">
        <f t="shared" si="18"/>
        <v>156</v>
      </c>
      <c r="AD21" s="112">
        <v>32032.034422251094</v>
      </c>
      <c r="AE21" s="113">
        <f t="shared" si="1"/>
        <v>-31097.034422251094</v>
      </c>
      <c r="AF21" s="112">
        <f t="shared" si="20"/>
        <v>33252</v>
      </c>
      <c r="AG21" s="126">
        <f t="shared" si="21"/>
        <v>437928.83999999997</v>
      </c>
      <c r="AH21" s="71"/>
      <c r="AQ21" s="6"/>
    </row>
    <row r="22" spans="1:43" ht="14.4" x14ac:dyDescent="0.3">
      <c r="A22" s="71"/>
      <c r="B22" s="39">
        <v>2026</v>
      </c>
      <c r="C22" s="40">
        <f t="shared" si="2"/>
        <v>300262.8587048999</v>
      </c>
      <c r="D22" s="40">
        <f t="shared" si="3"/>
        <v>1122</v>
      </c>
      <c r="E22" s="64">
        <f t="shared" si="4"/>
        <v>301384.8587048999</v>
      </c>
      <c r="F22" s="94">
        <f t="shared" si="5"/>
        <v>1358706.9192417043</v>
      </c>
      <c r="G22" s="127">
        <f t="shared" si="10"/>
        <v>71740958.647052035</v>
      </c>
      <c r="H22" s="90"/>
      <c r="I22" s="90"/>
      <c r="J22" s="39">
        <v>2026</v>
      </c>
      <c r="K22" s="110">
        <v>11915192.805749999</v>
      </c>
      <c r="L22" s="110">
        <f t="shared" si="11"/>
        <v>1985865.4676249996</v>
      </c>
      <c r="M22" s="111">
        <f t="shared" si="22"/>
        <v>428946.94100699993</v>
      </c>
      <c r="N22" s="111">
        <f t="shared" si="12"/>
        <v>71491.156834499969</v>
      </c>
      <c r="O22" s="70">
        <f t="shared" si="23"/>
        <v>300262.8587048999</v>
      </c>
      <c r="P22" s="40">
        <f t="shared" si="6"/>
        <v>50043.809784149955</v>
      </c>
      <c r="Q22" s="41">
        <f t="shared" si="13"/>
        <v>2.5199999999999993E-2</v>
      </c>
      <c r="R22" s="42">
        <f t="shared" si="7"/>
        <v>1.2</v>
      </c>
      <c r="S22" s="40">
        <f t="shared" si="14"/>
        <v>1318804.5192417044</v>
      </c>
      <c r="T22" s="125">
        <f t="shared" si="15"/>
        <v>71215444.039052039</v>
      </c>
      <c r="U22" s="50"/>
      <c r="V22" s="50"/>
      <c r="W22" s="39">
        <v>2026</v>
      </c>
      <c r="X22" s="88">
        <f t="shared" si="19"/>
        <v>44539</v>
      </c>
      <c r="Y22" s="88">
        <f t="shared" si="16"/>
        <v>7423</v>
      </c>
      <c r="Z22" s="111">
        <f t="shared" si="0"/>
        <v>2244.7655999999993</v>
      </c>
      <c r="AA22" s="111">
        <f t="shared" si="17"/>
        <v>374.11919999999941</v>
      </c>
      <c r="AB22" s="70">
        <f t="shared" si="8"/>
        <v>1122</v>
      </c>
      <c r="AC22" s="40">
        <f t="shared" si="18"/>
        <v>187</v>
      </c>
      <c r="AD22" s="112">
        <v>38091.497725419089</v>
      </c>
      <c r="AE22" s="113">
        <f t="shared" si="1"/>
        <v>-36969.497725419089</v>
      </c>
      <c r="AF22" s="112">
        <f t="shared" si="20"/>
        <v>39902.400000000001</v>
      </c>
      <c r="AG22" s="126">
        <f t="shared" si="21"/>
        <v>525514.60800000001</v>
      </c>
      <c r="AH22" s="71"/>
      <c r="AQ22" s="6"/>
    </row>
    <row r="23" spans="1:43" ht="14.4" x14ac:dyDescent="0.3">
      <c r="A23" s="71"/>
      <c r="B23" s="39">
        <v>2027</v>
      </c>
      <c r="C23" s="40">
        <f t="shared" si="2"/>
        <v>360315.43044587993</v>
      </c>
      <c r="D23" s="40">
        <f t="shared" si="3"/>
        <v>1347</v>
      </c>
      <c r="E23" s="64">
        <f t="shared" si="4"/>
        <v>361662.43044587993</v>
      </c>
      <c r="F23" s="94">
        <f t="shared" si="5"/>
        <v>1630469.6412718641</v>
      </c>
      <c r="G23" s="127">
        <f t="shared" si="10"/>
        <v>86089431.400317028</v>
      </c>
      <c r="H23" s="90"/>
      <c r="I23" s="90"/>
      <c r="J23" s="39">
        <v>2027</v>
      </c>
      <c r="K23" s="110">
        <v>14298231.366899999</v>
      </c>
      <c r="L23" s="110">
        <f t="shared" si="11"/>
        <v>2383038.5611499995</v>
      </c>
      <c r="M23" s="111">
        <f t="shared" si="22"/>
        <v>514736.32920839993</v>
      </c>
      <c r="N23" s="111">
        <f t="shared" si="12"/>
        <v>85789.388201399997</v>
      </c>
      <c r="O23" s="70">
        <f t="shared" si="23"/>
        <v>360315.43044587993</v>
      </c>
      <c r="P23" s="40">
        <f t="shared" si="6"/>
        <v>60052.571740980027</v>
      </c>
      <c r="Q23" s="41">
        <f t="shared" si="13"/>
        <v>2.5199999999999997E-2</v>
      </c>
      <c r="R23" s="42">
        <f t="shared" si="7"/>
        <v>1.2</v>
      </c>
      <c r="S23" s="40">
        <f t="shared" si="14"/>
        <v>1582565.4230900458</v>
      </c>
      <c r="T23" s="125">
        <f t="shared" si="15"/>
        <v>85458532.84686248</v>
      </c>
      <c r="U23" s="50"/>
      <c r="V23" s="50"/>
      <c r="W23" s="39">
        <v>2027</v>
      </c>
      <c r="X23" s="88">
        <f t="shared" si="19"/>
        <v>53447</v>
      </c>
      <c r="Y23" s="88">
        <f t="shared" si="16"/>
        <v>8908</v>
      </c>
      <c r="Z23" s="111">
        <f t="shared" si="0"/>
        <v>2693.7287999999999</v>
      </c>
      <c r="AA23" s="111">
        <f t="shared" si="17"/>
        <v>448.9632000000006</v>
      </c>
      <c r="AB23" s="70">
        <f t="shared" si="8"/>
        <v>1347</v>
      </c>
      <c r="AC23" s="40">
        <f t="shared" si="18"/>
        <v>225</v>
      </c>
      <c r="AD23" s="112">
        <v>44150.961028587088</v>
      </c>
      <c r="AE23" s="113">
        <f t="shared" si="1"/>
        <v>-42803.961028587088</v>
      </c>
      <c r="AF23" s="112">
        <f t="shared" si="20"/>
        <v>47904.218181818185</v>
      </c>
      <c r="AG23" s="126">
        <f t="shared" si="21"/>
        <v>630898.55345454544</v>
      </c>
      <c r="AH23" s="71"/>
      <c r="AQ23" s="6"/>
    </row>
    <row r="24" spans="1:43" ht="14.4" x14ac:dyDescent="0.3">
      <c r="A24" s="71"/>
      <c r="B24" s="39">
        <v>2028</v>
      </c>
      <c r="C24" s="40">
        <f t="shared" si="2"/>
        <v>432378.51653505594</v>
      </c>
      <c r="D24" s="40">
        <f t="shared" si="3"/>
        <v>1616</v>
      </c>
      <c r="E24" s="64">
        <f t="shared" si="4"/>
        <v>433994.51653505594</v>
      </c>
      <c r="F24" s="94">
        <f t="shared" si="5"/>
        <v>1956549.3440716914</v>
      </c>
      <c r="G24" s="127">
        <f t="shared" si="10"/>
        <v>103307130.33114406</v>
      </c>
      <c r="H24" s="90"/>
      <c r="I24" s="90"/>
      <c r="J24" s="39">
        <v>2028</v>
      </c>
      <c r="K24" s="110">
        <v>17157877.640280001</v>
      </c>
      <c r="L24" s="110">
        <f t="shared" si="11"/>
        <v>2859646.273380002</v>
      </c>
      <c r="M24" s="111">
        <f t="shared" si="22"/>
        <v>617683.59505007998</v>
      </c>
      <c r="N24" s="111">
        <f t="shared" si="12"/>
        <v>102947.26584168006</v>
      </c>
      <c r="O24" s="70">
        <f t="shared" si="23"/>
        <v>432378.51653505594</v>
      </c>
      <c r="P24" s="40">
        <f t="shared" si="6"/>
        <v>72063.086089176009</v>
      </c>
      <c r="Q24" s="41">
        <f t="shared" si="13"/>
        <v>2.5199999999999997E-2</v>
      </c>
      <c r="R24" s="42">
        <f t="shared" si="7"/>
        <v>1.2000000000000002</v>
      </c>
      <c r="S24" s="40">
        <f t="shared" si="14"/>
        <v>1899078.507708055</v>
      </c>
      <c r="T24" s="125">
        <f t="shared" si="15"/>
        <v>102550239.41623497</v>
      </c>
      <c r="U24" s="50"/>
      <c r="V24" s="50"/>
      <c r="W24" s="39">
        <v>2028</v>
      </c>
      <c r="X24" s="88">
        <f t="shared" si="19"/>
        <v>64136</v>
      </c>
      <c r="Y24" s="88">
        <f t="shared" si="16"/>
        <v>10689</v>
      </c>
      <c r="Z24" s="111">
        <f t="shared" si="0"/>
        <v>3232.4543999999996</v>
      </c>
      <c r="AA24" s="111">
        <f t="shared" si="17"/>
        <v>538.72559999999976</v>
      </c>
      <c r="AB24" s="70">
        <f t="shared" si="8"/>
        <v>1616</v>
      </c>
      <c r="AC24" s="40">
        <f t="shared" si="18"/>
        <v>269</v>
      </c>
      <c r="AD24" s="112">
        <v>50210.424331755086</v>
      </c>
      <c r="AE24" s="113">
        <f t="shared" si="1"/>
        <v>-48594.424331755086</v>
      </c>
      <c r="AF24" s="112">
        <f t="shared" si="20"/>
        <v>57470.836363636372</v>
      </c>
      <c r="AG24" s="126">
        <f t="shared" si="21"/>
        <v>756890.91490909096</v>
      </c>
      <c r="AH24" s="71"/>
      <c r="AQ24" s="6"/>
    </row>
    <row r="25" spans="1:43" ht="14.4" x14ac:dyDescent="0.3">
      <c r="A25" s="71"/>
      <c r="B25" s="39">
        <v>2029</v>
      </c>
      <c r="C25" s="40">
        <f t="shared" si="2"/>
        <v>518854.2198420671</v>
      </c>
      <c r="D25" s="40">
        <f t="shared" si="3"/>
        <v>1939</v>
      </c>
      <c r="E25" s="64">
        <f t="shared" si="4"/>
        <v>520793.2198420671</v>
      </c>
      <c r="F25" s="94">
        <f t="shared" si="5"/>
        <v>2347852.1001587571</v>
      </c>
      <c r="G25" s="127">
        <f t="shared" si="10"/>
        <v>123968462.72275469</v>
      </c>
      <c r="H25" s="90"/>
      <c r="I25" s="90"/>
      <c r="J25" s="39">
        <v>2029</v>
      </c>
      <c r="K25" s="110">
        <v>20589453.168336</v>
      </c>
      <c r="L25" s="110">
        <f t="shared" si="11"/>
        <v>3431575.5280559994</v>
      </c>
      <c r="M25" s="111">
        <f t="shared" si="22"/>
        <v>741220.31406009593</v>
      </c>
      <c r="N25" s="111">
        <f t="shared" si="12"/>
        <v>123536.71901001595</v>
      </c>
      <c r="O25" s="70">
        <f t="shared" si="23"/>
        <v>518854.2198420671</v>
      </c>
      <c r="P25" s="40">
        <f t="shared" si="6"/>
        <v>86475.703307011165</v>
      </c>
      <c r="Q25" s="41">
        <f t="shared" si="13"/>
        <v>2.5199999999999997E-2</v>
      </c>
      <c r="R25" s="42">
        <f t="shared" si="7"/>
        <v>1.2</v>
      </c>
      <c r="S25" s="40">
        <f t="shared" si="14"/>
        <v>2278894.209249666</v>
      </c>
      <c r="T25" s="125">
        <f t="shared" si="15"/>
        <v>123060287.29948196</v>
      </c>
      <c r="U25" s="50"/>
      <c r="V25" s="50"/>
      <c r="W25" s="39">
        <v>2029</v>
      </c>
      <c r="X25" s="88">
        <f t="shared" si="19"/>
        <v>76963</v>
      </c>
      <c r="Y25" s="88">
        <f t="shared" si="16"/>
        <v>12827</v>
      </c>
      <c r="Z25" s="111">
        <f t="shared" si="0"/>
        <v>3878.9351999999994</v>
      </c>
      <c r="AA25" s="111">
        <f t="shared" si="17"/>
        <v>646.48079999999982</v>
      </c>
      <c r="AB25" s="70">
        <f t="shared" si="8"/>
        <v>1939</v>
      </c>
      <c r="AC25" s="40">
        <f t="shared" si="18"/>
        <v>323</v>
      </c>
      <c r="AD25" s="112">
        <v>56269.887634923085</v>
      </c>
      <c r="AE25" s="113">
        <f t="shared" si="1"/>
        <v>-54330.887634923085</v>
      </c>
      <c r="AF25" s="112">
        <f t="shared" si="20"/>
        <v>68957.8909090909</v>
      </c>
      <c r="AG25" s="126">
        <f t="shared" si="21"/>
        <v>908175.42327272717</v>
      </c>
      <c r="AH25" s="71"/>
      <c r="AQ25" s="6"/>
    </row>
    <row r="26" spans="1:43" ht="14.4" x14ac:dyDescent="0.3">
      <c r="A26" s="71"/>
      <c r="B26" s="39">
        <v>2030</v>
      </c>
      <c r="C26" s="40">
        <f>O26</f>
        <v>622625.06381048064</v>
      </c>
      <c r="D26" s="40">
        <f t="shared" si="3"/>
        <v>2327</v>
      </c>
      <c r="E26" s="64">
        <f>C26+D26</f>
        <v>624952.06381048064</v>
      </c>
      <c r="F26" s="94">
        <f t="shared" si="5"/>
        <v>2817429.6329177814</v>
      </c>
      <c r="G26" s="127">
        <f t="shared" si="10"/>
        <v>148762248.9419238</v>
      </c>
      <c r="H26" s="90"/>
      <c r="I26" s="90"/>
      <c r="J26" s="39">
        <v>2030</v>
      </c>
      <c r="K26" s="110">
        <v>24707343.802003201</v>
      </c>
      <c r="L26" s="110">
        <f t="shared" si="11"/>
        <v>4117890.6336672008</v>
      </c>
      <c r="M26" s="111">
        <f t="shared" si="22"/>
        <v>889464.37687211519</v>
      </c>
      <c r="N26" s="111">
        <f t="shared" si="12"/>
        <v>148244.06281201926</v>
      </c>
      <c r="O26" s="70">
        <f>SUM(M26*0.7)</f>
        <v>622625.06381048064</v>
      </c>
      <c r="P26" s="40">
        <f t="shared" si="6"/>
        <v>103770.84396841354</v>
      </c>
      <c r="Q26" s="41">
        <f t="shared" si="13"/>
        <v>2.52E-2</v>
      </c>
      <c r="R26" s="42">
        <f t="shared" si="7"/>
        <v>1.2</v>
      </c>
      <c r="S26" s="40">
        <f t="shared" si="14"/>
        <v>2734673.0510995993</v>
      </c>
      <c r="T26" s="125">
        <f t="shared" si="15"/>
        <v>147672344.75937834</v>
      </c>
      <c r="U26" s="50"/>
      <c r="V26" s="50"/>
      <c r="W26" s="39">
        <v>2030</v>
      </c>
      <c r="X26" s="88">
        <f t="shared" si="19"/>
        <v>92356</v>
      </c>
      <c r="Y26" s="88">
        <f t="shared" si="16"/>
        <v>15393</v>
      </c>
      <c r="Z26" s="111">
        <f t="shared" si="0"/>
        <v>4654.7424000000001</v>
      </c>
      <c r="AA26" s="111">
        <f t="shared" si="17"/>
        <v>775.80720000000065</v>
      </c>
      <c r="AB26" s="70">
        <f t="shared" si="8"/>
        <v>2327</v>
      </c>
      <c r="AC26" s="40">
        <f t="shared" si="18"/>
        <v>388</v>
      </c>
      <c r="AD26" s="112">
        <v>62329.350938091091</v>
      </c>
      <c r="AE26" s="113">
        <f t="shared" si="1"/>
        <v>-60002.350938091091</v>
      </c>
      <c r="AF26" s="112">
        <f t="shared" si="20"/>
        <v>82756.581818181818</v>
      </c>
      <c r="AG26" s="126">
        <f t="shared" si="21"/>
        <v>1089904.1825454545</v>
      </c>
      <c r="AH26" s="71"/>
      <c r="AQ26" s="6"/>
    </row>
    <row r="27" spans="1:43" ht="14.4" x14ac:dyDescent="0.3">
      <c r="A27" s="71"/>
      <c r="B27" s="287"/>
      <c r="C27" s="287"/>
      <c r="D27" s="287"/>
      <c r="E27" s="287"/>
      <c r="F27" s="287"/>
      <c r="G27" s="287"/>
      <c r="H27" s="287"/>
      <c r="I27" s="71"/>
      <c r="J27" s="287"/>
      <c r="K27" s="287"/>
      <c r="L27" s="287"/>
      <c r="M27" s="287"/>
      <c r="N27" s="287"/>
      <c r="O27" s="287"/>
      <c r="P27" s="37"/>
      <c r="Q27" s="37"/>
      <c r="R27" s="101"/>
      <c r="S27" s="101"/>
      <c r="T27" s="37"/>
      <c r="U27" s="51"/>
      <c r="V27" s="51"/>
      <c r="W27" s="71"/>
      <c r="X27" s="71"/>
      <c r="Y27" s="71"/>
      <c r="Z27" s="71"/>
      <c r="AA27" s="71"/>
      <c r="AB27" s="71"/>
      <c r="AC27" s="71"/>
      <c r="AD27" s="71"/>
      <c r="AE27" s="101"/>
      <c r="AF27" s="101"/>
      <c r="AG27" s="71"/>
      <c r="AH27" s="71"/>
    </row>
    <row r="28" spans="1:43" ht="15" thickBot="1" x14ac:dyDescent="0.35">
      <c r="J28" s="288" t="s">
        <v>146</v>
      </c>
      <c r="K28" s="288"/>
      <c r="L28" s="288"/>
      <c r="M28" s="288"/>
      <c r="N28" s="288"/>
      <c r="O28" s="10"/>
      <c r="P28" s="10"/>
      <c r="Q28" s="10"/>
      <c r="R28" s="10"/>
      <c r="S28" s="10"/>
      <c r="T28" s="10"/>
      <c r="U28" s="9"/>
      <c r="V28" s="9"/>
    </row>
    <row r="29" spans="1:43" ht="20.399999999999999" thickBot="1" x14ac:dyDescent="0.45">
      <c r="B29" s="14" t="s">
        <v>3</v>
      </c>
      <c r="C29" s="15"/>
      <c r="D29" s="15"/>
      <c r="E29" s="16"/>
      <c r="J29" s="67"/>
      <c r="U29" s="9"/>
      <c r="V29" s="9"/>
      <c r="X29" s="34" t="s">
        <v>85</v>
      </c>
      <c r="Y29" s="55"/>
    </row>
    <row r="30" spans="1:43" ht="21" thickTop="1" thickBot="1" x14ac:dyDescent="0.45">
      <c r="B30" s="124" t="s">
        <v>4</v>
      </c>
      <c r="C30" s="100"/>
      <c r="D30" s="63">
        <v>6.6</v>
      </c>
      <c r="E30" s="18" t="s">
        <v>5</v>
      </c>
      <c r="M30" s="68">
        <v>41821</v>
      </c>
      <c r="N30" s="55" t="s">
        <v>92</v>
      </c>
      <c r="O30" s="2"/>
      <c r="R30" s="120"/>
      <c r="S30" s="120"/>
      <c r="T30" s="120"/>
      <c r="U30" s="9"/>
      <c r="V30" s="9"/>
      <c r="X30" s="96" t="s">
        <v>86</v>
      </c>
      <c r="Y30" s="97">
        <v>0</v>
      </c>
      <c r="Z30" s="2" t="s">
        <v>119</v>
      </c>
    </row>
    <row r="31" spans="1:43" ht="18.600000000000001" thickTop="1" thickBot="1" x14ac:dyDescent="0.4">
      <c r="B31" s="19" t="s">
        <v>6</v>
      </c>
      <c r="C31" s="17"/>
      <c r="D31" s="20"/>
      <c r="E31" s="21"/>
      <c r="M31" s="56" t="s">
        <v>0</v>
      </c>
      <c r="N31" s="58">
        <v>365</v>
      </c>
      <c r="O31" s="2"/>
      <c r="R31" s="120"/>
      <c r="S31" s="121"/>
      <c r="T31" s="120"/>
      <c r="X31" s="96" t="s">
        <v>87</v>
      </c>
      <c r="Y31" s="98">
        <v>0.8</v>
      </c>
      <c r="Z31" s="2" t="s">
        <v>105</v>
      </c>
      <c r="AA31" s="7"/>
      <c r="AB31" s="8"/>
      <c r="AC31" s="7"/>
      <c r="AD31" s="8"/>
      <c r="AE31" s="8"/>
      <c r="AF31" s="8"/>
      <c r="AG31" s="3"/>
    </row>
    <row r="32" spans="1:43" ht="15" thickTop="1" x14ac:dyDescent="0.3">
      <c r="B32" s="22" t="s">
        <v>7</v>
      </c>
      <c r="C32" s="23" t="s">
        <v>8</v>
      </c>
      <c r="D32" s="24">
        <v>0.1</v>
      </c>
      <c r="E32" s="25"/>
      <c r="M32" s="56" t="s">
        <v>17</v>
      </c>
      <c r="N32" s="59">
        <v>36.1</v>
      </c>
      <c r="O32" s="99" t="s">
        <v>22</v>
      </c>
      <c r="R32" s="120"/>
      <c r="S32" s="121"/>
      <c r="T32" s="120"/>
      <c r="X32" s="103" t="s">
        <v>95</v>
      </c>
      <c r="Y32" s="98">
        <v>0.2</v>
      </c>
      <c r="AA32" s="7"/>
      <c r="AB32" s="11"/>
      <c r="AC32" s="7"/>
      <c r="AD32" s="11"/>
      <c r="AE32" s="11"/>
      <c r="AF32" s="11"/>
    </row>
    <row r="33" spans="2:33" ht="14.4" x14ac:dyDescent="0.3">
      <c r="B33" s="22" t="s">
        <v>9</v>
      </c>
      <c r="C33" s="23" t="s">
        <v>10</v>
      </c>
      <c r="D33" s="24">
        <v>0.2</v>
      </c>
      <c r="E33" s="25"/>
      <c r="M33" s="56" t="s">
        <v>14</v>
      </c>
      <c r="N33" s="59">
        <v>3</v>
      </c>
      <c r="O33" s="2" t="s">
        <v>29</v>
      </c>
      <c r="R33" s="120"/>
      <c r="S33" s="121"/>
      <c r="T33" s="120"/>
      <c r="X33" s="103" t="s">
        <v>96</v>
      </c>
      <c r="Y33" s="106" t="s">
        <v>116</v>
      </c>
      <c r="AA33" s="7"/>
      <c r="AB33" s="11"/>
      <c r="AC33" s="7"/>
      <c r="AD33" s="11"/>
      <c r="AE33" s="11"/>
      <c r="AF33" s="11"/>
    </row>
    <row r="34" spans="2:33" ht="20.399999999999999" thickBot="1" x14ac:dyDescent="0.45">
      <c r="B34" s="26"/>
      <c r="C34" s="27"/>
      <c r="D34" s="28"/>
      <c r="E34" s="29"/>
      <c r="M34" s="56" t="s">
        <v>15</v>
      </c>
      <c r="N34" s="60">
        <v>12.033333333333333</v>
      </c>
      <c r="O34" s="61"/>
      <c r="R34" s="120"/>
      <c r="S34" s="120"/>
      <c r="T34" s="120"/>
      <c r="X34" s="103" t="s">
        <v>97</v>
      </c>
      <c r="Y34" s="59">
        <v>250</v>
      </c>
      <c r="AA34" s="7"/>
      <c r="AB34" s="11"/>
      <c r="AC34" s="7"/>
      <c r="AD34" s="11"/>
      <c r="AE34" s="11"/>
      <c r="AF34" s="11"/>
    </row>
    <row r="35" spans="2:33" ht="18.600000000000001" thickTop="1" thickBot="1" x14ac:dyDescent="0.4">
      <c r="B35" s="291" t="s">
        <v>11</v>
      </c>
      <c r="C35" s="292"/>
      <c r="D35" s="63">
        <v>6.6</v>
      </c>
      <c r="E35" s="18" t="s">
        <v>5</v>
      </c>
      <c r="M35" s="56" t="s">
        <v>16</v>
      </c>
      <c r="N35" s="57">
        <v>5.3999999999999999E-2</v>
      </c>
      <c r="O35" s="61"/>
      <c r="X35" s="103" t="s">
        <v>98</v>
      </c>
      <c r="Y35" s="104">
        <v>360</v>
      </c>
      <c r="Z35" s="2" t="s">
        <v>106</v>
      </c>
      <c r="AA35" s="7"/>
      <c r="AB35" s="4"/>
      <c r="AC35" s="7"/>
      <c r="AD35" s="4"/>
      <c r="AE35" s="4"/>
      <c r="AF35" s="4"/>
      <c r="AG35" s="3"/>
    </row>
    <row r="36" spans="2:33" ht="18.600000000000001" thickTop="1" thickBot="1" x14ac:dyDescent="0.4">
      <c r="B36" s="19" t="s">
        <v>6</v>
      </c>
      <c r="C36" s="17"/>
      <c r="D36" s="20"/>
      <c r="E36" s="21"/>
      <c r="M36" s="61"/>
      <c r="N36" s="12"/>
      <c r="O36" s="3">
        <v>4121</v>
      </c>
      <c r="X36" s="103" t="s">
        <v>99</v>
      </c>
      <c r="Y36" s="104" t="s">
        <v>116</v>
      </c>
      <c r="AA36" s="7"/>
      <c r="AB36" s="4"/>
      <c r="AC36" s="7"/>
      <c r="AD36" s="4"/>
      <c r="AE36" s="4"/>
      <c r="AF36" s="4"/>
      <c r="AG36" s="3"/>
    </row>
    <row r="37" spans="2:33" ht="15" thickTop="1" x14ac:dyDescent="0.3">
      <c r="B37" s="22" t="s">
        <v>7</v>
      </c>
      <c r="C37" s="23" t="s">
        <v>8</v>
      </c>
      <c r="D37" s="24">
        <v>0.1</v>
      </c>
      <c r="E37" s="25"/>
      <c r="O37" s="128">
        <f>O36-O8</f>
        <v>2807</v>
      </c>
      <c r="P37" s="3">
        <f>(O37/2)*N31*N34</f>
        <v>6164405.916666667</v>
      </c>
      <c r="X37" s="103" t="s">
        <v>100</v>
      </c>
      <c r="Y37" s="104">
        <v>80</v>
      </c>
      <c r="Z37" s="2" t="s">
        <v>121</v>
      </c>
    </row>
    <row r="38" spans="2:33" ht="15" thickBot="1" x14ac:dyDescent="0.35">
      <c r="B38" s="30" t="s">
        <v>9</v>
      </c>
      <c r="C38" s="31" t="s">
        <v>10</v>
      </c>
      <c r="D38" s="32">
        <v>0.2</v>
      </c>
      <c r="E38" s="33"/>
      <c r="O38" s="128">
        <f>O36-O37</f>
        <v>1314</v>
      </c>
      <c r="P38" s="3">
        <f>O38*N31*N34</f>
        <v>5771307</v>
      </c>
      <c r="X38" s="103" t="s">
        <v>101</v>
      </c>
      <c r="Y38" s="104">
        <v>100</v>
      </c>
      <c r="Z38" s="115" t="s">
        <v>122</v>
      </c>
    </row>
    <row r="39" spans="2:33" ht="18.600000000000001" thickTop="1" thickBot="1" x14ac:dyDescent="0.4">
      <c r="B39" s="291" t="s">
        <v>123</v>
      </c>
      <c r="C39" s="292"/>
      <c r="D39" s="63">
        <v>100</v>
      </c>
      <c r="E39" s="18" t="s">
        <v>5</v>
      </c>
      <c r="F39" s="2" t="s">
        <v>124</v>
      </c>
      <c r="O39" s="2" t="s">
        <v>134</v>
      </c>
      <c r="P39" s="89">
        <f>SUM(P37:P38)</f>
        <v>11935712.916666668</v>
      </c>
      <c r="Q39" s="130">
        <f>P39*0.054</f>
        <v>644528.49750000006</v>
      </c>
      <c r="R39" s="130"/>
      <c r="S39" s="2"/>
      <c r="T39" s="2"/>
      <c r="X39" s="103" t="s">
        <v>102</v>
      </c>
      <c r="Y39" s="107" t="s">
        <v>116</v>
      </c>
    </row>
    <row r="40" spans="2:33" ht="18.600000000000001" thickTop="1" thickBot="1" x14ac:dyDescent="0.4">
      <c r="B40" s="19" t="s">
        <v>6</v>
      </c>
      <c r="C40" s="17"/>
      <c r="D40" s="20"/>
      <c r="E40" s="21"/>
      <c r="O40" s="2"/>
      <c r="P40" s="2"/>
      <c r="Q40" s="2"/>
      <c r="R40" s="2"/>
      <c r="S40" s="2"/>
      <c r="T40" s="2"/>
      <c r="X40" s="103" t="s">
        <v>103</v>
      </c>
      <c r="Y40" s="60">
        <f>100/120</f>
        <v>0.83333333333333337</v>
      </c>
      <c r="Z40" s="2" t="s">
        <v>126</v>
      </c>
    </row>
    <row r="41" spans="2:33" ht="15" thickTop="1" x14ac:dyDescent="0.3">
      <c r="B41" s="22" t="s">
        <v>7</v>
      </c>
      <c r="C41" s="23" t="s">
        <v>8</v>
      </c>
      <c r="D41" s="24">
        <v>0.1</v>
      </c>
      <c r="E41" s="25"/>
      <c r="O41" s="2" t="s">
        <v>135</v>
      </c>
      <c r="P41" s="89">
        <f>E9</f>
        <v>4603</v>
      </c>
      <c r="Q41" s="129">
        <f>P41*N31*N34</f>
        <v>20217143.166666668</v>
      </c>
      <c r="R41" s="2"/>
      <c r="S41" s="2"/>
      <c r="T41" s="2"/>
      <c r="X41" s="103" t="s">
        <v>104</v>
      </c>
      <c r="Y41" s="60">
        <v>0.44</v>
      </c>
      <c r="Z41" s="2" t="s">
        <v>125</v>
      </c>
    </row>
    <row r="42" spans="2:33" ht="15" thickBot="1" x14ac:dyDescent="0.35">
      <c r="B42" s="30" t="s">
        <v>9</v>
      </c>
      <c r="C42" s="31" t="s">
        <v>10</v>
      </c>
      <c r="D42" s="32">
        <v>0.2</v>
      </c>
      <c r="E42" s="33"/>
      <c r="O42" s="2"/>
      <c r="P42" s="131">
        <f>(E10-E9)/2</f>
        <v>1442.5</v>
      </c>
      <c r="Q42" s="129">
        <f>P42*N31*N34</f>
        <v>6335700.416666667</v>
      </c>
      <c r="R42" s="2"/>
      <c r="S42" s="2"/>
      <c r="T42" s="2"/>
      <c r="X42" s="56" t="s">
        <v>16</v>
      </c>
      <c r="Y42" s="57">
        <v>1.3169999999999999E-2</v>
      </c>
      <c r="Z42" s="95" t="s">
        <v>84</v>
      </c>
    </row>
    <row r="43" spans="2:33" x14ac:dyDescent="0.25">
      <c r="O43" s="2"/>
      <c r="P43" s="131"/>
      <c r="Q43" s="89">
        <f>SUM(Q41:Q42)</f>
        <v>26552843.583333336</v>
      </c>
      <c r="R43" s="132">
        <f>Q43*0.054</f>
        <v>1433853.5535000002</v>
      </c>
      <c r="S43" s="2"/>
      <c r="T43" s="2"/>
    </row>
    <row r="44" spans="2:33" x14ac:dyDescent="0.25">
      <c r="O44" s="2"/>
      <c r="P44" s="2"/>
      <c r="Q44" s="2"/>
      <c r="R44" s="2"/>
      <c r="S44" s="2"/>
      <c r="T44" s="2"/>
    </row>
    <row r="45" spans="2:33" x14ac:dyDescent="0.25">
      <c r="O45" s="2"/>
      <c r="P45" s="2"/>
      <c r="Q45" s="2"/>
      <c r="R45" s="2"/>
      <c r="S45" s="2"/>
      <c r="T45" s="2"/>
    </row>
    <row r="46" spans="2:33" x14ac:dyDescent="0.25">
      <c r="O46" s="2"/>
      <c r="P46" s="2"/>
      <c r="Q46" s="2"/>
      <c r="R46" s="2"/>
      <c r="S46" s="2"/>
      <c r="T46" s="2"/>
    </row>
    <row r="47" spans="2:33" x14ac:dyDescent="0.25">
      <c r="O47" s="2"/>
      <c r="P47" s="2"/>
      <c r="Q47" s="2"/>
      <c r="R47" s="2"/>
      <c r="S47" s="2"/>
      <c r="T47" s="2"/>
    </row>
    <row r="48" spans="2:33" x14ac:dyDescent="0.25">
      <c r="O48" s="2"/>
      <c r="P48" s="2"/>
      <c r="Q48" s="2"/>
      <c r="R48" s="2"/>
      <c r="S48" s="2"/>
      <c r="T48" s="2"/>
      <c r="AB48" s="99"/>
    </row>
    <row r="49" spans="15:20" x14ac:dyDescent="0.25">
      <c r="O49" s="2"/>
      <c r="P49" s="2"/>
      <c r="Q49" s="2"/>
      <c r="R49" s="2"/>
      <c r="S49" s="2"/>
      <c r="T49" s="2"/>
    </row>
    <row r="50" spans="15:20" x14ac:dyDescent="0.25">
      <c r="O50" s="2"/>
      <c r="P50" s="2"/>
      <c r="Q50" s="2"/>
      <c r="R50" s="2"/>
      <c r="S50" s="2"/>
      <c r="T50" s="2"/>
    </row>
    <row r="51" spans="15:20" x14ac:dyDescent="0.25">
      <c r="O51" s="2"/>
      <c r="P51" s="2"/>
      <c r="Q51" s="2"/>
      <c r="R51" s="2"/>
      <c r="S51" s="2"/>
      <c r="T51" s="2"/>
    </row>
    <row r="52" spans="15:20" x14ac:dyDescent="0.25">
      <c r="O52" s="2"/>
      <c r="P52" s="2"/>
      <c r="Q52" s="2"/>
      <c r="R52" s="2"/>
      <c r="S52" s="2"/>
      <c r="T52" s="2"/>
    </row>
  </sheetData>
  <mergeCells count="10">
    <mergeCell ref="W4:X4"/>
    <mergeCell ref="J27:O27"/>
    <mergeCell ref="J28:N28"/>
    <mergeCell ref="J5:O5"/>
    <mergeCell ref="B39:C39"/>
    <mergeCell ref="B35:C35"/>
    <mergeCell ref="B4:C4"/>
    <mergeCell ref="B5:H5"/>
    <mergeCell ref="B27:H27"/>
    <mergeCell ref="J4:K4"/>
  </mergeCells>
  <phoneticPr fontId="7" type="noConversion"/>
  <pageMargins left="0.25" right="0.25" top="1" bottom="1" header="0.5" footer="0.5"/>
  <pageSetup scale="70" orientation="landscape" r:id="rId1"/>
  <headerFooter alignWithMargins="0"/>
  <colBreaks count="2" manualBreakCount="2">
    <brk id="8" min="2" max="41" man="1"/>
    <brk id="21" min="2" max="4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-0.249977111117893"/>
    <pageSetUpPr fitToPage="1"/>
  </sheetPr>
  <dimension ref="A1:Y84"/>
  <sheetViews>
    <sheetView zoomScale="75" workbookViewId="0">
      <selection sqref="A1:A2"/>
    </sheetView>
  </sheetViews>
  <sheetFormatPr defaultColWidth="13.6640625" defaultRowHeight="13.2" x14ac:dyDescent="0.25"/>
  <cols>
    <col min="1" max="1" width="12" style="2" customWidth="1"/>
    <col min="2" max="2" width="10.109375" style="1" customWidth="1"/>
    <col min="3" max="3" width="13" style="4" customWidth="1"/>
    <col min="4" max="4" width="11" style="2" customWidth="1"/>
    <col min="5" max="5" width="2.5546875" style="2" customWidth="1"/>
    <col min="6" max="6" width="12.44140625" style="267" customWidth="1"/>
    <col min="7" max="7" width="14.88671875" style="2" customWidth="1"/>
    <col min="8" max="8" width="13.5546875" style="267" customWidth="1"/>
    <col min="9" max="9" width="12.5546875" style="2" customWidth="1"/>
    <col min="10" max="10" width="3" style="2" customWidth="1"/>
    <col min="11" max="11" width="14.109375" style="2" customWidth="1"/>
    <col min="12" max="12" width="13.5546875" style="2" customWidth="1"/>
    <col min="13" max="13" width="12.33203125" style="2" customWidth="1"/>
    <col min="14" max="14" width="13.88671875" style="2" customWidth="1"/>
    <col min="15" max="15" width="2.6640625" style="2" customWidth="1"/>
    <col min="16" max="16" width="13.6640625" style="2" customWidth="1"/>
    <col min="17" max="17" width="12.109375" style="2" customWidth="1"/>
    <col min="18" max="18" width="13.6640625" style="2" bestFit="1" customWidth="1"/>
    <col min="19" max="19" width="2.44140625" style="2" customWidth="1"/>
    <col min="20" max="21" width="13.6640625" style="2" customWidth="1"/>
    <col min="22" max="22" width="8.33203125" style="2" customWidth="1"/>
    <col min="23" max="23" width="8.109375" style="2" customWidth="1"/>
    <col min="24" max="24" width="4.44140625" style="2" customWidth="1"/>
    <col min="25" max="16384" width="13.6640625" style="2"/>
  </cols>
  <sheetData>
    <row r="1" spans="1:25" x14ac:dyDescent="0.25">
      <c r="A1" s="317" t="s">
        <v>202</v>
      </c>
    </row>
    <row r="2" spans="1:25" x14ac:dyDescent="0.25">
      <c r="A2" s="317" t="s">
        <v>200</v>
      </c>
    </row>
    <row r="3" spans="1:25" ht="20.399999999999999" thickBot="1" x14ac:dyDescent="0.45">
      <c r="A3" s="144"/>
      <c r="B3" s="293" t="s">
        <v>151</v>
      </c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145"/>
    </row>
    <row r="4" spans="1:25" ht="21" customHeight="1" thickTop="1" thickBot="1" x14ac:dyDescent="0.45">
      <c r="A4" s="144"/>
      <c r="B4" s="295" t="s">
        <v>152</v>
      </c>
      <c r="C4" s="296"/>
      <c r="D4" s="296"/>
      <c r="E4" s="296"/>
      <c r="F4" s="296"/>
      <c r="G4" s="296"/>
      <c r="H4" s="296"/>
      <c r="I4" s="297"/>
      <c r="J4" s="146"/>
      <c r="K4" s="295" t="s">
        <v>152</v>
      </c>
      <c r="L4" s="296"/>
      <c r="M4" s="296"/>
      <c r="N4" s="296"/>
      <c r="O4" s="296"/>
      <c r="P4" s="296"/>
      <c r="Q4" s="296"/>
      <c r="R4" s="297"/>
      <c r="S4" s="147"/>
    </row>
    <row r="5" spans="1:25" ht="21" thickTop="1" thickBot="1" x14ac:dyDescent="0.45">
      <c r="A5" s="144"/>
      <c r="B5" s="148" t="s">
        <v>1</v>
      </c>
      <c r="C5" s="298" t="s">
        <v>153</v>
      </c>
      <c r="D5" s="298"/>
      <c r="E5" s="146"/>
      <c r="F5" s="298" t="s">
        <v>154</v>
      </c>
      <c r="G5" s="298"/>
      <c r="H5" s="298" t="s">
        <v>155</v>
      </c>
      <c r="I5" s="298"/>
      <c r="J5" s="149"/>
      <c r="K5" s="150"/>
      <c r="L5" s="299" t="s">
        <v>156</v>
      </c>
      <c r="M5" s="299"/>
      <c r="N5" s="299"/>
      <c r="O5" s="146"/>
      <c r="P5" s="300" t="s">
        <v>157</v>
      </c>
      <c r="Q5" s="300"/>
      <c r="R5" s="301"/>
      <c r="S5" s="151"/>
      <c r="U5" s="152" t="s">
        <v>3</v>
      </c>
      <c r="V5" s="153"/>
      <c r="W5" s="153"/>
      <c r="X5" s="154"/>
    </row>
    <row r="6" spans="1:25" ht="18.600000000000001" thickTop="1" thickBot="1" x14ac:dyDescent="0.4">
      <c r="A6" s="144"/>
      <c r="B6" s="144"/>
      <c r="C6" s="155">
        <v>2015</v>
      </c>
      <c r="D6" s="155">
        <v>2014</v>
      </c>
      <c r="E6" s="155"/>
      <c r="F6" s="155">
        <v>2015</v>
      </c>
      <c r="G6" s="155">
        <v>2014</v>
      </c>
      <c r="H6" s="155">
        <v>2015</v>
      </c>
      <c r="I6" s="155">
        <v>2014</v>
      </c>
      <c r="J6" s="155"/>
      <c r="K6" s="156"/>
      <c r="L6" s="155" t="s">
        <v>158</v>
      </c>
      <c r="M6" s="155" t="s">
        <v>159</v>
      </c>
      <c r="N6" s="155" t="s">
        <v>160</v>
      </c>
      <c r="O6" s="156"/>
      <c r="P6" s="155" t="s">
        <v>158</v>
      </c>
      <c r="Q6" s="155" t="s">
        <v>159</v>
      </c>
      <c r="R6" s="157" t="s">
        <v>160</v>
      </c>
      <c r="S6" s="147"/>
      <c r="U6" s="302" t="s">
        <v>161</v>
      </c>
      <c r="V6" s="303"/>
      <c r="W6" s="158">
        <v>6.6</v>
      </c>
      <c r="X6" s="159" t="s">
        <v>5</v>
      </c>
      <c r="Y6" s="160" t="s">
        <v>162</v>
      </c>
    </row>
    <row r="7" spans="1:25" ht="18" thickBot="1" x14ac:dyDescent="0.4">
      <c r="A7" s="144"/>
      <c r="B7" s="161">
        <v>2010</v>
      </c>
      <c r="C7" s="162"/>
      <c r="D7" s="163"/>
      <c r="E7" s="164"/>
      <c r="F7" s="165"/>
      <c r="G7" s="163"/>
      <c r="H7" s="166"/>
      <c r="I7" s="166"/>
      <c r="J7" s="167"/>
      <c r="K7" s="168">
        <v>2010</v>
      </c>
      <c r="L7" s="163"/>
      <c r="M7" s="163"/>
      <c r="N7" s="169"/>
      <c r="O7" s="145"/>
      <c r="P7" s="170"/>
      <c r="Q7" s="170"/>
      <c r="R7" s="171"/>
      <c r="S7" s="172"/>
      <c r="U7" s="173" t="s">
        <v>6</v>
      </c>
      <c r="V7" s="150"/>
      <c r="W7" s="174"/>
      <c r="X7" s="175"/>
    </row>
    <row r="8" spans="1:25" ht="15" thickTop="1" x14ac:dyDescent="0.3">
      <c r="A8" s="144"/>
      <c r="B8" s="161" t="s">
        <v>163</v>
      </c>
      <c r="C8" s="162">
        <f>+FORECAST!E7</f>
        <v>259</v>
      </c>
      <c r="D8" s="163">
        <v>259</v>
      </c>
      <c r="E8" s="164"/>
      <c r="F8" s="165" t="str">
        <f>+FORECAST!F7</f>
        <v/>
      </c>
      <c r="G8" s="163">
        <v>1204.3494032184619</v>
      </c>
      <c r="H8" s="283"/>
      <c r="I8" s="166">
        <f t="shared" ref="I8:I27" si="0">+G8/D8</f>
        <v>4.6499976958241778</v>
      </c>
      <c r="J8" s="167"/>
      <c r="K8" s="168">
        <v>2011</v>
      </c>
      <c r="L8" s="163"/>
      <c r="M8" s="163"/>
      <c r="N8" s="169"/>
      <c r="O8" s="145"/>
      <c r="P8" s="170"/>
      <c r="Q8" s="170"/>
      <c r="R8" s="171"/>
      <c r="S8" s="172"/>
      <c r="U8" s="176" t="s">
        <v>7</v>
      </c>
      <c r="V8" s="177" t="s">
        <v>8</v>
      </c>
      <c r="W8" s="178">
        <v>0.1</v>
      </c>
      <c r="X8" s="179"/>
    </row>
    <row r="9" spans="1:25" ht="14.4" x14ac:dyDescent="0.3">
      <c r="A9" s="144"/>
      <c r="B9" s="161" t="s">
        <v>164</v>
      </c>
      <c r="C9" s="162">
        <f>+FORECAST!E8</f>
        <v>1314</v>
      </c>
      <c r="D9" s="163">
        <v>1314</v>
      </c>
      <c r="E9" s="164"/>
      <c r="F9" s="165">
        <f>+FORECAST!F8</f>
        <v>5771.3069999999998</v>
      </c>
      <c r="G9" s="163">
        <v>6110.0969723129692</v>
      </c>
      <c r="H9" s="166">
        <f t="shared" ref="H9:H27" si="1">+F9/C9</f>
        <v>4.3921666666666663</v>
      </c>
      <c r="I9" s="166">
        <f t="shared" ref="I9:I15" si="2">+G9/D9</f>
        <v>4.6499976958241778</v>
      </c>
      <c r="J9" s="167"/>
      <c r="K9" s="168">
        <v>2012</v>
      </c>
      <c r="L9" s="163">
        <f t="shared" ref="L9:L27" si="3">+C9-D9</f>
        <v>0</v>
      </c>
      <c r="M9" s="163">
        <f t="shared" ref="M9:M27" si="4">+F9-G9</f>
        <v>-338.78997231296944</v>
      </c>
      <c r="N9" s="169">
        <f t="shared" ref="N9:N27" si="5">+H9-I9</f>
        <v>-0.25783102915751144</v>
      </c>
      <c r="O9" s="145"/>
      <c r="P9" s="170">
        <f t="shared" ref="P9:P27" si="6">+C9/D9-1</f>
        <v>0</v>
      </c>
      <c r="Q9" s="170">
        <f t="shared" ref="Q9:Q27" si="7">+F9/G9-1</f>
        <v>-5.5447560627621462E-2</v>
      </c>
      <c r="R9" s="171">
        <f t="shared" ref="R9:R27" si="8">+H9/I9-1</f>
        <v>-5.5447560627621462E-2</v>
      </c>
      <c r="S9" s="172"/>
      <c r="U9" s="176" t="s">
        <v>9</v>
      </c>
      <c r="V9" s="177" t="s">
        <v>10</v>
      </c>
      <c r="W9" s="178">
        <v>0.2</v>
      </c>
      <c r="X9" s="179"/>
    </row>
    <row r="10" spans="1:25" ht="20.399999999999999" thickBot="1" x14ac:dyDescent="0.45">
      <c r="A10" s="144"/>
      <c r="B10" s="161" t="s">
        <v>165</v>
      </c>
      <c r="C10" s="162">
        <f>+FORECAST!E9</f>
        <v>4603</v>
      </c>
      <c r="D10" s="163">
        <v>4603</v>
      </c>
      <c r="E10" s="164"/>
      <c r="F10" s="165">
        <f>+FORECAST!F9</f>
        <v>20747.058151515153</v>
      </c>
      <c r="G10" s="163">
        <v>21964.961696886658</v>
      </c>
      <c r="H10" s="166">
        <f>+F10/C10</f>
        <v>4.5072904956582995</v>
      </c>
      <c r="I10" s="166">
        <f t="shared" si="2"/>
        <v>4.771879577859365</v>
      </c>
      <c r="J10" s="167"/>
      <c r="K10" s="168">
        <v>2013</v>
      </c>
      <c r="L10" s="163">
        <f t="shared" si="3"/>
        <v>0</v>
      </c>
      <c r="M10" s="163">
        <f t="shared" si="4"/>
        <v>-1217.9035453715042</v>
      </c>
      <c r="N10" s="169">
        <f t="shared" si="5"/>
        <v>-0.26458908220106547</v>
      </c>
      <c r="O10" s="145"/>
      <c r="P10" s="170">
        <f t="shared" si="6"/>
        <v>0</v>
      </c>
      <c r="Q10" s="170">
        <f t="shared" si="7"/>
        <v>-5.5447560627621351E-2</v>
      </c>
      <c r="R10" s="171">
        <f t="shared" si="8"/>
        <v>-5.5447560627621351E-2</v>
      </c>
      <c r="S10" s="172"/>
      <c r="U10" s="180"/>
      <c r="V10" s="181"/>
      <c r="W10" s="182"/>
      <c r="X10" s="183"/>
    </row>
    <row r="11" spans="1:25" ht="18.600000000000001" thickTop="1" thickBot="1" x14ac:dyDescent="0.4">
      <c r="A11" s="144"/>
      <c r="B11" s="161" t="s">
        <v>166</v>
      </c>
      <c r="C11" s="162">
        <f>+FORECAST!E10</f>
        <v>7488</v>
      </c>
      <c r="D11" s="163">
        <v>6576</v>
      </c>
      <c r="E11" s="164"/>
      <c r="F11" s="165">
        <f>+FORECAST!F10</f>
        <v>33761.345151515154</v>
      </c>
      <c r="G11" s="163">
        <v>31370.416334339268</v>
      </c>
      <c r="H11" s="166">
        <f>+F11/C11</f>
        <v>4.5087266495079001</v>
      </c>
      <c r="I11" s="166">
        <f t="shared" si="2"/>
        <v>4.7704404401367499</v>
      </c>
      <c r="J11" s="167"/>
      <c r="K11" s="168">
        <v>2014</v>
      </c>
      <c r="L11" s="163">
        <f>+C11-D11</f>
        <v>912</v>
      </c>
      <c r="M11" s="163">
        <f t="shared" si="4"/>
        <v>2390.9288171758853</v>
      </c>
      <c r="N11" s="169">
        <f t="shared" si="5"/>
        <v>-0.26171379062884981</v>
      </c>
      <c r="O11" s="145"/>
      <c r="P11" s="170">
        <f t="shared" si="6"/>
        <v>0.13868613138686126</v>
      </c>
      <c r="Q11" s="170">
        <f t="shared" si="7"/>
        <v>7.6216037163608918E-2</v>
      </c>
      <c r="R11" s="171">
        <f t="shared" si="8"/>
        <v>-5.4861557106317682E-2</v>
      </c>
      <c r="S11" s="172"/>
      <c r="U11" s="304" t="s">
        <v>11</v>
      </c>
      <c r="V11" s="305"/>
      <c r="W11" s="184">
        <v>6.6</v>
      </c>
      <c r="X11" s="159" t="s">
        <v>5</v>
      </c>
    </row>
    <row r="12" spans="1:25" ht="18.600000000000001" thickTop="1" thickBot="1" x14ac:dyDescent="0.4">
      <c r="A12" s="144"/>
      <c r="B12" s="161" t="s">
        <v>167</v>
      </c>
      <c r="C12" s="162">
        <f>+FORECAST!E11</f>
        <v>10465.802399999999</v>
      </c>
      <c r="D12" s="163">
        <v>9395</v>
      </c>
      <c r="E12" s="164"/>
      <c r="F12" s="165">
        <f>+FORECAST!F11</f>
        <v>47183.235759381816</v>
      </c>
      <c r="G12" s="163">
        <v>44841.774270225724</v>
      </c>
      <c r="H12" s="166">
        <f>+F12/C12</f>
        <v>4.5083247281051113</v>
      </c>
      <c r="I12" s="166">
        <f t="shared" si="2"/>
        <v>4.7729403161496249</v>
      </c>
      <c r="J12" s="167"/>
      <c r="K12" s="168">
        <v>2015</v>
      </c>
      <c r="L12" s="163">
        <f>+C12-D12</f>
        <v>1070.8023999999987</v>
      </c>
      <c r="M12" s="163">
        <f t="shared" si="4"/>
        <v>2341.4614891560923</v>
      </c>
      <c r="N12" s="169">
        <f t="shared" si="5"/>
        <v>-0.26461558804451357</v>
      </c>
      <c r="O12" s="145"/>
      <c r="P12" s="170">
        <f t="shared" si="6"/>
        <v>0.11397577434805739</v>
      </c>
      <c r="Q12" s="170">
        <f>+F12/G12-1</f>
        <v>5.221607590828059E-2</v>
      </c>
      <c r="R12" s="171">
        <f t="shared" si="8"/>
        <v>-5.5440791318752791E-2</v>
      </c>
      <c r="S12" s="172"/>
      <c r="U12" s="173" t="s">
        <v>6</v>
      </c>
      <c r="V12" s="150"/>
      <c r="W12" s="174"/>
      <c r="X12" s="175"/>
    </row>
    <row r="13" spans="1:25" ht="15" thickTop="1" x14ac:dyDescent="0.3">
      <c r="A13" s="144"/>
      <c r="B13" s="161" t="s">
        <v>168</v>
      </c>
      <c r="C13" s="162">
        <f>+FORECAST!E12</f>
        <v>15474.402399999997</v>
      </c>
      <c r="D13" s="163">
        <v>13341.2</v>
      </c>
      <c r="E13" s="164"/>
      <c r="F13" s="165">
        <f>+FORECAST!F12</f>
        <v>69774.099650290882</v>
      </c>
      <c r="G13" s="163">
        <v>63686.61485661177</v>
      </c>
      <c r="H13" s="166">
        <f>+F13/C13</f>
        <v>4.5090012426128254</v>
      </c>
      <c r="I13" s="166">
        <f t="shared" si="2"/>
        <v>4.7736796432563615</v>
      </c>
      <c r="J13" s="167"/>
      <c r="K13" s="168">
        <v>2016</v>
      </c>
      <c r="L13" s="163">
        <f>+C13-D13</f>
        <v>2133.2023999999965</v>
      </c>
      <c r="M13" s="163">
        <f t="shared" si="4"/>
        <v>6087.484793679112</v>
      </c>
      <c r="N13" s="169">
        <f t="shared" si="5"/>
        <v>-0.26467840064353609</v>
      </c>
      <c r="O13" s="145"/>
      <c r="P13" s="170">
        <f t="shared" si="6"/>
        <v>0.15989584145354208</v>
      </c>
      <c r="Q13" s="170">
        <f>+F13/G13-1</f>
        <v>9.5584995487432822E-2</v>
      </c>
      <c r="R13" s="171">
        <f t="shared" si="8"/>
        <v>-5.5445362995281799E-2</v>
      </c>
      <c r="S13" s="172"/>
      <c r="U13" s="176" t="s">
        <v>7</v>
      </c>
      <c r="V13" s="177" t="s">
        <v>8</v>
      </c>
      <c r="W13" s="284">
        <v>0.1</v>
      </c>
      <c r="X13" s="179"/>
      <c r="Y13" s="185"/>
    </row>
    <row r="14" spans="1:25" ht="15" thickBot="1" x14ac:dyDescent="0.35">
      <c r="A14" s="144"/>
      <c r="B14" s="161" t="s">
        <v>169</v>
      </c>
      <c r="C14" s="162">
        <f>+FORECAST!E13</f>
        <v>23683.037199999995</v>
      </c>
      <c r="D14" s="163">
        <v>17701.7376</v>
      </c>
      <c r="E14" s="164"/>
      <c r="F14" s="165">
        <f>+FORECAST!F13</f>
        <v>106762.93588859997</v>
      </c>
      <c r="G14" s="163">
        <v>84491.125640232785</v>
      </c>
      <c r="H14" s="166">
        <f t="shared" si="1"/>
        <v>4.5079917320992928</v>
      </c>
      <c r="I14" s="166">
        <f t="shared" si="2"/>
        <v>4.7730413561340317</v>
      </c>
      <c r="J14" s="167"/>
      <c r="K14" s="168">
        <v>2017</v>
      </c>
      <c r="L14" s="163">
        <f>+C14-D14</f>
        <v>5981.2995999999948</v>
      </c>
      <c r="M14" s="163">
        <f t="shared" si="4"/>
        <v>22271.810248367183</v>
      </c>
      <c r="N14" s="169">
        <f t="shared" si="5"/>
        <v>-0.26504962403473886</v>
      </c>
      <c r="O14" s="145"/>
      <c r="P14" s="170">
        <f t="shared" si="6"/>
        <v>0.33789336025408012</v>
      </c>
      <c r="Q14" s="170">
        <f>+F14/G14-1</f>
        <v>0.26359940265444681</v>
      </c>
      <c r="R14" s="171">
        <f t="shared" si="8"/>
        <v>-5.5530552588678672E-2</v>
      </c>
      <c r="S14" s="172"/>
      <c r="U14" s="186" t="s">
        <v>9</v>
      </c>
      <c r="V14" s="187" t="s">
        <v>10</v>
      </c>
      <c r="W14" s="285">
        <v>0.2</v>
      </c>
      <c r="X14" s="188"/>
    </row>
    <row r="15" spans="1:25" ht="18.600000000000001" thickTop="1" thickBot="1" x14ac:dyDescent="0.4">
      <c r="A15" s="144"/>
      <c r="B15" s="161" t="s">
        <v>170</v>
      </c>
      <c r="C15" s="162">
        <f>+FORECAST!E14</f>
        <v>41034.707999999991</v>
      </c>
      <c r="D15" s="163">
        <v>22657.745999999999</v>
      </c>
      <c r="E15" s="164"/>
      <c r="F15" s="165">
        <f>+FORECAST!F14</f>
        <v>185000.5115176363</v>
      </c>
      <c r="G15" s="163">
        <v>108130.57689566765</v>
      </c>
      <c r="H15" s="166">
        <f t="shared" si="1"/>
        <v>4.5083910800007727</v>
      </c>
      <c r="I15" s="166">
        <f t="shared" si="2"/>
        <v>4.7723448261653054</v>
      </c>
      <c r="J15" s="167"/>
      <c r="K15" s="168">
        <v>2018</v>
      </c>
      <c r="L15" s="163">
        <f t="shared" si="3"/>
        <v>18376.961999999992</v>
      </c>
      <c r="M15" s="163">
        <f>+F15-G15</f>
        <v>76869.934621968656</v>
      </c>
      <c r="N15" s="169">
        <f t="shared" si="5"/>
        <v>-0.26395374616453271</v>
      </c>
      <c r="O15" s="145"/>
      <c r="P15" s="170">
        <f t="shared" si="6"/>
        <v>0.81106752631086931</v>
      </c>
      <c r="Q15" s="170">
        <f t="shared" si="7"/>
        <v>0.7108991446160362</v>
      </c>
      <c r="R15" s="171">
        <f t="shared" si="8"/>
        <v>-5.5309026438608355E-2</v>
      </c>
      <c r="S15" s="172"/>
      <c r="U15" s="306" t="s">
        <v>123</v>
      </c>
      <c r="V15" s="307"/>
      <c r="W15" s="158">
        <v>100</v>
      </c>
      <c r="X15" s="189" t="s">
        <v>5</v>
      </c>
      <c r="Y15" s="2" t="s">
        <v>124</v>
      </c>
    </row>
    <row r="16" spans="1:25" ht="18.600000000000001" thickTop="1" thickBot="1" x14ac:dyDescent="0.4">
      <c r="A16" s="144"/>
      <c r="B16" s="161" t="s">
        <v>171</v>
      </c>
      <c r="C16" s="162">
        <f>+FORECAST!E15</f>
        <v>61551.561999999991</v>
      </c>
      <c r="D16" s="163">
        <v>29002.390199999998</v>
      </c>
      <c r="E16" s="164"/>
      <c r="F16" s="165">
        <f>+FORECAST!F15</f>
        <v>277482.98545827268</v>
      </c>
      <c r="G16" s="163">
        <v>138425.18929309136</v>
      </c>
      <c r="H16" s="166">
        <f>+F16/C16</f>
        <v>4.5081388098367468</v>
      </c>
      <c r="I16" s="166">
        <f t="shared" si="0"/>
        <v>4.7728890046135364</v>
      </c>
      <c r="J16" s="167"/>
      <c r="K16" s="168">
        <v>2019</v>
      </c>
      <c r="L16" s="163">
        <f t="shared" si="3"/>
        <v>32549.171799999993</v>
      </c>
      <c r="M16" s="163">
        <f>+F16-G16</f>
        <v>139057.79616518132</v>
      </c>
      <c r="N16" s="169">
        <f t="shared" si="5"/>
        <v>-0.26475019477678963</v>
      </c>
      <c r="O16" s="145"/>
      <c r="P16" s="170">
        <f t="shared" si="6"/>
        <v>1.1222927343415989</v>
      </c>
      <c r="Q16" s="170">
        <f t="shared" si="7"/>
        <v>1.0045700271411624</v>
      </c>
      <c r="R16" s="171">
        <f t="shared" si="8"/>
        <v>-5.5469589701515942E-2</v>
      </c>
      <c r="S16" s="172"/>
      <c r="U16" s="173" t="s">
        <v>6</v>
      </c>
      <c r="V16" s="150"/>
      <c r="W16" s="190"/>
      <c r="X16" s="191"/>
    </row>
    <row r="17" spans="1:24" ht="15" thickTop="1" x14ac:dyDescent="0.3">
      <c r="A17" s="144"/>
      <c r="B17" s="161" t="s">
        <v>172</v>
      </c>
      <c r="C17" s="162">
        <f>+FORECAST!E16</f>
        <v>83094.458699999988</v>
      </c>
      <c r="D17" s="163">
        <v>39153.425600000002</v>
      </c>
      <c r="E17" s="164"/>
      <c r="F17" s="165">
        <f>+FORECAST!F16</f>
        <v>374596.69582321361</v>
      </c>
      <c r="G17" s="163">
        <v>186881.53036710355</v>
      </c>
      <c r="H17" s="166">
        <f>+F17/C17</f>
        <v>4.508082749243707</v>
      </c>
      <c r="I17" s="166">
        <f t="shared" si="0"/>
        <v>4.7730569548709818</v>
      </c>
      <c r="J17" s="167"/>
      <c r="K17" s="168">
        <v>2020</v>
      </c>
      <c r="L17" s="163">
        <f t="shared" si="3"/>
        <v>43941.033099999986</v>
      </c>
      <c r="M17" s="163">
        <f>+F17-G17</f>
        <v>187715.16545611006</v>
      </c>
      <c r="N17" s="169">
        <f t="shared" si="5"/>
        <v>-0.26497420562727481</v>
      </c>
      <c r="O17" s="145"/>
      <c r="P17" s="170">
        <f t="shared" si="6"/>
        <v>1.122278125774006</v>
      </c>
      <c r="Q17" s="170">
        <f t="shared" si="7"/>
        <v>1.004460767671203</v>
      </c>
      <c r="R17" s="171">
        <f t="shared" si="8"/>
        <v>-5.5514570249756701E-2</v>
      </c>
      <c r="S17" s="172"/>
      <c r="U17" s="176" t="s">
        <v>7</v>
      </c>
      <c r="V17" s="177" t="s">
        <v>8</v>
      </c>
      <c r="W17" s="284">
        <v>0.1</v>
      </c>
      <c r="X17" s="179"/>
    </row>
    <row r="18" spans="1:24" ht="15" thickBot="1" x14ac:dyDescent="0.35">
      <c r="A18" s="144"/>
      <c r="B18" s="161" t="s">
        <v>173</v>
      </c>
      <c r="C18" s="162">
        <f>+FORECAST!E17</f>
        <v>108023.09630999999</v>
      </c>
      <c r="D18" s="163">
        <v>52857.015200000002</v>
      </c>
      <c r="E18" s="164"/>
      <c r="F18" s="165">
        <f>+FORECAST!F17</f>
        <v>486986.37366108678</v>
      </c>
      <c r="G18" s="163">
        <v>252286.2573406476</v>
      </c>
      <c r="H18" s="166">
        <f>+F18/C18</f>
        <v>4.5081689962260887</v>
      </c>
      <c r="I18" s="166">
        <f t="shared" si="0"/>
        <v>4.772994774412604</v>
      </c>
      <c r="J18" s="167"/>
      <c r="K18" s="168">
        <v>2021</v>
      </c>
      <c r="L18" s="163">
        <f t="shared" si="3"/>
        <v>55166.081109999992</v>
      </c>
      <c r="M18" s="163">
        <f>+F18-G18</f>
        <v>234700.11632043918</v>
      </c>
      <c r="N18" s="169">
        <f t="shared" si="5"/>
        <v>-0.26482577818651531</v>
      </c>
      <c r="O18" s="145"/>
      <c r="P18" s="170">
        <f t="shared" si="6"/>
        <v>1.0436851362352368</v>
      </c>
      <c r="Q18" s="170">
        <f t="shared" si="7"/>
        <v>0.93029290931030428</v>
      </c>
      <c r="R18" s="171">
        <f t="shared" si="8"/>
        <v>-5.5484196129065855E-2</v>
      </c>
      <c r="S18" s="172"/>
      <c r="U18" s="186" t="s">
        <v>9</v>
      </c>
      <c r="V18" s="187" t="s">
        <v>10</v>
      </c>
      <c r="W18" s="285">
        <v>0.2</v>
      </c>
      <c r="X18" s="188"/>
    </row>
    <row r="19" spans="1:24" ht="14.4" x14ac:dyDescent="0.3">
      <c r="A19" s="144"/>
      <c r="B19" s="161" t="s">
        <v>174</v>
      </c>
      <c r="C19" s="162">
        <f>+FORECAST!E18</f>
        <v>135029.37038749998</v>
      </c>
      <c r="D19" s="163">
        <v>71357.048599999995</v>
      </c>
      <c r="E19" s="164"/>
      <c r="F19" s="165">
        <f>+FORECAST!F18</f>
        <v>608750.74889454036</v>
      </c>
      <c r="G19" s="163">
        <v>340588.46054729144</v>
      </c>
      <c r="H19" s="166">
        <f>+F19/C19</f>
        <v>4.5082839914574171</v>
      </c>
      <c r="I19" s="166">
        <f t="shared" si="0"/>
        <v>4.7730177639002216</v>
      </c>
      <c r="J19" s="167"/>
      <c r="K19" s="168">
        <v>2022</v>
      </c>
      <c r="L19" s="163">
        <f t="shared" si="3"/>
        <v>63672.321787499983</v>
      </c>
      <c r="M19" s="163">
        <f>+F19-G19</f>
        <v>268162.28834724892</v>
      </c>
      <c r="N19" s="169">
        <f t="shared" si="5"/>
        <v>-0.26473377244280449</v>
      </c>
      <c r="O19" s="145"/>
      <c r="P19" s="170">
        <f t="shared" si="6"/>
        <v>0.89230598850048271</v>
      </c>
      <c r="Q19" s="170">
        <f t="shared" si="7"/>
        <v>0.7873498941107373</v>
      </c>
      <c r="R19" s="171">
        <f t="shared" si="8"/>
        <v>-5.5464652665880743E-2</v>
      </c>
      <c r="S19" s="172"/>
    </row>
    <row r="20" spans="1:24" ht="14.4" x14ac:dyDescent="0.3">
      <c r="A20" s="144"/>
      <c r="B20" s="161" t="s">
        <v>175</v>
      </c>
      <c r="C20" s="162">
        <f>+FORECAST!E19</f>
        <v>167436.69928049998</v>
      </c>
      <c r="D20" s="163">
        <v>96331.900399999984</v>
      </c>
      <c r="E20" s="164"/>
      <c r="F20" s="165">
        <f>+FORECAST!F19</f>
        <v>754860.88644741173</v>
      </c>
      <c r="G20" s="163">
        <v>459790.58588141471</v>
      </c>
      <c r="H20" s="166">
        <f t="shared" si="1"/>
        <v>4.5083359245085433</v>
      </c>
      <c r="I20" s="166">
        <f t="shared" si="0"/>
        <v>4.7729836531016341</v>
      </c>
      <c r="J20" s="167"/>
      <c r="K20" s="168">
        <v>2023</v>
      </c>
      <c r="L20" s="163">
        <f t="shared" si="3"/>
        <v>71104.798880499991</v>
      </c>
      <c r="M20" s="163">
        <f t="shared" si="4"/>
        <v>295070.30056599702</v>
      </c>
      <c r="N20" s="169">
        <f t="shared" si="5"/>
        <v>-0.26464772859309083</v>
      </c>
      <c r="O20" s="145"/>
      <c r="P20" s="170">
        <f t="shared" si="6"/>
        <v>0.73812307849477454</v>
      </c>
      <c r="Q20" s="170">
        <f t="shared" si="7"/>
        <v>0.64174933029642123</v>
      </c>
      <c r="R20" s="171">
        <f t="shared" si="8"/>
        <v>-5.5447021785024253E-2</v>
      </c>
      <c r="S20" s="172"/>
    </row>
    <row r="21" spans="1:24" ht="14.4" x14ac:dyDescent="0.3">
      <c r="A21" s="144"/>
      <c r="B21" s="161" t="s">
        <v>176</v>
      </c>
      <c r="C21" s="162">
        <f>+FORECAST!E20</f>
        <v>209294.87410062499</v>
      </c>
      <c r="D21" s="163">
        <v>134864.07459999999</v>
      </c>
      <c r="E21" s="164"/>
      <c r="F21" s="165">
        <f>+FORECAST!F20</f>
        <v>943540.544422901</v>
      </c>
      <c r="G21" s="163">
        <v>643684.29473416589</v>
      </c>
      <c r="H21" s="166">
        <f t="shared" si="1"/>
        <v>4.5081875439016468</v>
      </c>
      <c r="I21" s="166">
        <f t="shared" si="0"/>
        <v>4.7728373671290951</v>
      </c>
      <c r="J21" s="167"/>
      <c r="K21" s="168">
        <v>2024</v>
      </c>
      <c r="L21" s="163">
        <f t="shared" si="3"/>
        <v>74430.799500624998</v>
      </c>
      <c r="M21" s="163">
        <f t="shared" si="4"/>
        <v>299856.24968873512</v>
      </c>
      <c r="N21" s="169">
        <f t="shared" si="5"/>
        <v>-0.26464982322744834</v>
      </c>
      <c r="O21" s="145"/>
      <c r="P21" s="170">
        <f t="shared" si="6"/>
        <v>0.55189493363138387</v>
      </c>
      <c r="Q21" s="170">
        <f t="shared" si="7"/>
        <v>0.46584366302205993</v>
      </c>
      <c r="R21" s="171">
        <f t="shared" si="8"/>
        <v>-5.5449160084546811E-2</v>
      </c>
      <c r="S21" s="172"/>
      <c r="U21" s="192" t="s">
        <v>177</v>
      </c>
    </row>
    <row r="22" spans="1:24" ht="14.4" x14ac:dyDescent="0.3">
      <c r="A22" s="144"/>
      <c r="B22" s="161" t="s">
        <v>178</v>
      </c>
      <c r="C22" s="162">
        <f>+FORECAST!E21</f>
        <v>251154.04892074995</v>
      </c>
      <c r="D22" s="163">
        <v>182066.79719999997</v>
      </c>
      <c r="E22" s="164"/>
      <c r="F22" s="165">
        <f>+FORECAST!F21</f>
        <v>1132255.7660347538</v>
      </c>
      <c r="G22" s="163">
        <v>868985.07696252293</v>
      </c>
      <c r="H22" s="166">
        <f t="shared" si="1"/>
        <v>4.508212274101262</v>
      </c>
      <c r="I22" s="166">
        <f t="shared" si="0"/>
        <v>4.772891544897913</v>
      </c>
      <c r="J22" s="167"/>
      <c r="K22" s="168">
        <v>2025</v>
      </c>
      <c r="L22" s="163">
        <f t="shared" si="3"/>
        <v>69087.251720749977</v>
      </c>
      <c r="M22" s="163">
        <f t="shared" si="4"/>
        <v>263270.68907223083</v>
      </c>
      <c r="N22" s="169">
        <f t="shared" si="5"/>
        <v>-0.26467927079665099</v>
      </c>
      <c r="O22" s="145"/>
      <c r="P22" s="170">
        <f t="shared" si="6"/>
        <v>0.37946101531548226</v>
      </c>
      <c r="Q22" s="170">
        <f t="shared" si="7"/>
        <v>0.30296341795934545</v>
      </c>
      <c r="R22" s="171">
        <f t="shared" si="8"/>
        <v>-5.5454700427791104E-2</v>
      </c>
      <c r="S22" s="172"/>
    </row>
    <row r="23" spans="1:24" ht="20.399999999999999" thickBot="1" x14ac:dyDescent="0.45">
      <c r="A23" s="144"/>
      <c r="B23" s="161" t="s">
        <v>179</v>
      </c>
      <c r="C23" s="162">
        <f>+FORECAST!E22</f>
        <v>301384.8587048999</v>
      </c>
      <c r="D23" s="163">
        <v>245790.86919999999</v>
      </c>
      <c r="E23" s="164"/>
      <c r="F23" s="165">
        <f>+FORECAST!F22</f>
        <v>1358706.9192417043</v>
      </c>
      <c r="G23" s="163">
        <v>1173156.1771731689</v>
      </c>
      <c r="H23" s="166">
        <f t="shared" si="1"/>
        <v>4.508212274101262</v>
      </c>
      <c r="I23" s="166">
        <f t="shared" si="0"/>
        <v>4.7729851844845053</v>
      </c>
      <c r="J23" s="167"/>
      <c r="K23" s="168">
        <v>2026</v>
      </c>
      <c r="L23" s="163">
        <f t="shared" si="3"/>
        <v>55593.989504899917</v>
      </c>
      <c r="M23" s="163">
        <f t="shared" si="4"/>
        <v>185550.74206853542</v>
      </c>
      <c r="N23" s="169">
        <f t="shared" si="5"/>
        <v>-0.26477291038324324</v>
      </c>
      <c r="O23" s="145"/>
      <c r="P23" s="170">
        <f t="shared" si="6"/>
        <v>0.2261841120699366</v>
      </c>
      <c r="Q23" s="170">
        <f t="shared" si="7"/>
        <v>0.15816371739663637</v>
      </c>
      <c r="R23" s="171">
        <f t="shared" si="8"/>
        <v>-5.5473231143465029E-2</v>
      </c>
      <c r="S23" s="172"/>
      <c r="U23" s="193" t="s">
        <v>180</v>
      </c>
      <c r="V23" s="194"/>
    </row>
    <row r="24" spans="1:24" ht="15" thickTop="1" x14ac:dyDescent="0.3">
      <c r="A24" s="144"/>
      <c r="B24" s="161" t="s">
        <v>181</v>
      </c>
      <c r="C24" s="162">
        <f>+FORECAST!E23</f>
        <v>361662.43044587993</v>
      </c>
      <c r="D24" s="163">
        <v>294948.85239999997</v>
      </c>
      <c r="E24" s="164"/>
      <c r="F24" s="165">
        <f>+FORECAST!F23</f>
        <v>1630469.6412718641</v>
      </c>
      <c r="G24" s="163">
        <v>1407779.9258698535</v>
      </c>
      <c r="H24" s="166">
        <f t="shared" si="1"/>
        <v>4.5082637952239599</v>
      </c>
      <c r="I24" s="166">
        <f t="shared" si="0"/>
        <v>4.772962886326706</v>
      </c>
      <c r="J24" s="167"/>
      <c r="K24" s="168">
        <v>2027</v>
      </c>
      <c r="L24" s="163">
        <f t="shared" si="3"/>
        <v>66713.578045879956</v>
      </c>
      <c r="M24" s="163">
        <f t="shared" si="4"/>
        <v>222689.7154020106</v>
      </c>
      <c r="N24" s="169">
        <f t="shared" si="5"/>
        <v>-0.26469909110274603</v>
      </c>
      <c r="O24" s="145"/>
      <c r="P24" s="170">
        <f t="shared" si="6"/>
        <v>0.22618693886425167</v>
      </c>
      <c r="Q24" s="170">
        <f t="shared" si="7"/>
        <v>0.15818503397426475</v>
      </c>
      <c r="R24" s="171">
        <f t="shared" si="8"/>
        <v>-5.5458024167973297E-2</v>
      </c>
      <c r="S24" s="172"/>
      <c r="U24" s="195" t="s">
        <v>0</v>
      </c>
      <c r="V24" s="196">
        <v>365</v>
      </c>
      <c r="W24" s="197"/>
    </row>
    <row r="25" spans="1:24" ht="14.4" x14ac:dyDescent="0.3">
      <c r="A25" s="144"/>
      <c r="B25" s="161" t="s">
        <v>182</v>
      </c>
      <c r="C25" s="162">
        <f>+FORECAST!E24</f>
        <v>433994.51653505594</v>
      </c>
      <c r="D25" s="163">
        <v>353937.81819999998</v>
      </c>
      <c r="E25" s="164"/>
      <c r="F25" s="165">
        <f>+FORECAST!F24</f>
        <v>1956549.3440716914</v>
      </c>
      <c r="G25" s="163">
        <v>1689305.7682341249</v>
      </c>
      <c r="H25" s="166">
        <f t="shared" si="1"/>
        <v>4.5082351723991216</v>
      </c>
      <c r="I25" s="166">
        <f t="shared" si="0"/>
        <v>4.772888573550361</v>
      </c>
      <c r="J25" s="167"/>
      <c r="K25" s="168">
        <v>2028</v>
      </c>
      <c r="L25" s="163">
        <f t="shared" si="3"/>
        <v>80056.69833505596</v>
      </c>
      <c r="M25" s="163">
        <f t="shared" si="4"/>
        <v>267243.57583756652</v>
      </c>
      <c r="N25" s="169">
        <f t="shared" si="5"/>
        <v>-0.26465340115123936</v>
      </c>
      <c r="O25" s="145"/>
      <c r="P25" s="170">
        <f t="shared" si="6"/>
        <v>0.22618859646645118</v>
      </c>
      <c r="Q25" s="170">
        <f t="shared" si="7"/>
        <v>0.15819727894312652</v>
      </c>
      <c r="R25" s="171">
        <f t="shared" si="8"/>
        <v>-5.5449314827472396E-2</v>
      </c>
      <c r="S25" s="172"/>
      <c r="U25" s="195" t="s">
        <v>17</v>
      </c>
      <c r="V25" s="198">
        <v>36.1</v>
      </c>
      <c r="W25" s="199" t="s">
        <v>22</v>
      </c>
    </row>
    <row r="26" spans="1:24" ht="14.4" x14ac:dyDescent="0.3">
      <c r="A26" s="144"/>
      <c r="B26" s="161" t="s">
        <v>183</v>
      </c>
      <c r="C26" s="162">
        <f>+FORECAST!E25</f>
        <v>520793.2198420671</v>
      </c>
      <c r="D26" s="163">
        <v>424725.76779999997</v>
      </c>
      <c r="E26" s="164"/>
      <c r="F26" s="165">
        <f>+FORECAST!F25</f>
        <v>2347852.1001587571</v>
      </c>
      <c r="G26" s="163">
        <v>2027181.9171188374</v>
      </c>
      <c r="H26" s="166">
        <f t="shared" si="1"/>
        <v>4.5082232462065344</v>
      </c>
      <c r="I26" s="166">
        <f t="shared" si="0"/>
        <v>4.7729195419888475</v>
      </c>
      <c r="J26" s="167"/>
      <c r="K26" s="168">
        <v>2029</v>
      </c>
      <c r="L26" s="163">
        <f t="shared" si="3"/>
        <v>96067.452042067132</v>
      </c>
      <c r="M26" s="163">
        <f t="shared" si="4"/>
        <v>320670.18303991971</v>
      </c>
      <c r="N26" s="169">
        <f t="shared" si="5"/>
        <v>-0.26469629578231313</v>
      </c>
      <c r="O26" s="145"/>
      <c r="P26" s="170">
        <f t="shared" si="6"/>
        <v>0.22618701130303109</v>
      </c>
      <c r="Q26" s="170">
        <f t="shared" si="7"/>
        <v>0.15818520298152472</v>
      </c>
      <c r="R26" s="171">
        <f t="shared" si="8"/>
        <v>-5.545794213661015E-2</v>
      </c>
      <c r="S26" s="172"/>
      <c r="U26" s="195" t="s">
        <v>14</v>
      </c>
      <c r="V26" s="198">
        <v>3</v>
      </c>
      <c r="W26" s="199" t="s">
        <v>29</v>
      </c>
    </row>
    <row r="27" spans="1:24" ht="15" thickBot="1" x14ac:dyDescent="0.35">
      <c r="A27" s="144"/>
      <c r="B27" s="200" t="s">
        <v>184</v>
      </c>
      <c r="C27" s="201">
        <f>+FORECAST!E26</f>
        <v>624952.06381048064</v>
      </c>
      <c r="D27" s="163">
        <v>509671.53539999999</v>
      </c>
      <c r="E27" s="203"/>
      <c r="F27" s="204">
        <f>+FORECAST!F26</f>
        <v>2817429.6329177814</v>
      </c>
      <c r="G27" s="163">
        <v>2432640.9566143551</v>
      </c>
      <c r="H27" s="205">
        <f t="shared" si="1"/>
        <v>4.5082331847009929</v>
      </c>
      <c r="I27" s="205">
        <f t="shared" si="0"/>
        <v>4.7729582439897724</v>
      </c>
      <c r="J27" s="206"/>
      <c r="K27" s="207">
        <v>2030</v>
      </c>
      <c r="L27" s="202">
        <f t="shared" si="3"/>
        <v>115280.52841048065</v>
      </c>
      <c r="M27" s="202">
        <f t="shared" si="4"/>
        <v>384788.67630342627</v>
      </c>
      <c r="N27" s="208">
        <f t="shared" si="5"/>
        <v>-0.26472505928877954</v>
      </c>
      <c r="O27" s="209"/>
      <c r="P27" s="210">
        <f t="shared" si="6"/>
        <v>0.22618592643202318</v>
      </c>
      <c r="Q27" s="210">
        <f t="shared" si="7"/>
        <v>0.15817734025121344</v>
      </c>
      <c r="R27" s="211">
        <f t="shared" si="8"/>
        <v>-5.5463518798247957E-2</v>
      </c>
      <c r="S27" s="172"/>
      <c r="U27" s="195" t="s">
        <v>15</v>
      </c>
      <c r="V27" s="212">
        <f>V25/V26</f>
        <v>12.033333333333333</v>
      </c>
      <c r="W27" s="213"/>
    </row>
    <row r="28" spans="1:24" ht="14.4" x14ac:dyDescent="0.3">
      <c r="A28" s="144"/>
      <c r="B28" s="214"/>
      <c r="C28" s="215"/>
      <c r="D28" s="216"/>
      <c r="E28" s="216"/>
      <c r="F28" s="217"/>
      <c r="G28" s="216"/>
      <c r="H28" s="217"/>
      <c r="I28" s="218"/>
      <c r="J28" s="218"/>
      <c r="K28" s="144"/>
      <c r="L28" s="144"/>
      <c r="M28" s="144"/>
      <c r="N28" s="144"/>
      <c r="O28" s="144"/>
      <c r="P28" s="144"/>
      <c r="Q28" s="144"/>
      <c r="R28" s="144"/>
      <c r="S28" s="144"/>
      <c r="U28" s="195" t="s">
        <v>16</v>
      </c>
      <c r="V28" s="219">
        <v>5.3999999999999999E-2</v>
      </c>
      <c r="W28" s="220"/>
    </row>
    <row r="29" spans="1:24" x14ac:dyDescent="0.25">
      <c r="A29" s="221"/>
      <c r="B29" s="222"/>
      <c r="C29" s="223"/>
      <c r="D29" s="224"/>
      <c r="E29" s="225"/>
      <c r="F29" s="308"/>
      <c r="G29" s="308"/>
      <c r="H29" s="226"/>
      <c r="I29" s="227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9"/>
      <c r="V29" s="230"/>
    </row>
    <row r="30" spans="1:24" x14ac:dyDescent="0.25">
      <c r="A30" s="221"/>
      <c r="B30" s="231"/>
      <c r="C30" s="232"/>
      <c r="D30" s="225"/>
      <c r="E30" s="225"/>
      <c r="F30" s="309"/>
      <c r="G30" s="309"/>
      <c r="H30" s="226"/>
      <c r="I30" s="227"/>
      <c r="J30" s="227"/>
      <c r="K30" s="310"/>
      <c r="L30" s="310"/>
      <c r="M30" s="310"/>
      <c r="N30" s="310"/>
      <c r="O30" s="228"/>
      <c r="P30" s="228"/>
      <c r="Q30" s="228"/>
      <c r="R30" s="228"/>
      <c r="S30" s="228"/>
      <c r="T30" s="228"/>
      <c r="U30" s="229"/>
      <c r="V30" s="230"/>
    </row>
    <row r="31" spans="1:24" ht="13.8" thickBot="1" x14ac:dyDescent="0.3">
      <c r="A31" s="221"/>
      <c r="B31" s="233"/>
      <c r="C31" s="234"/>
      <c r="D31" s="235"/>
      <c r="E31" s="228"/>
      <c r="F31" s="226"/>
      <c r="G31" s="228"/>
      <c r="H31" s="228"/>
      <c r="I31" s="228"/>
      <c r="J31" s="228"/>
      <c r="K31" s="236"/>
      <c r="L31" s="228"/>
      <c r="M31" s="228"/>
      <c r="N31" s="228"/>
      <c r="O31" s="228"/>
      <c r="P31" s="228"/>
      <c r="Q31" s="228"/>
      <c r="R31" s="228"/>
      <c r="S31" s="228"/>
      <c r="T31" s="228"/>
    </row>
    <row r="32" spans="1:24" x14ac:dyDescent="0.25">
      <c r="A32" s="221"/>
      <c r="B32" s="237"/>
      <c r="C32" s="234"/>
      <c r="D32" s="228"/>
      <c r="E32" s="228"/>
      <c r="F32" s="238" t="s">
        <v>185</v>
      </c>
      <c r="G32" s="239"/>
      <c r="H32" s="240"/>
      <c r="I32" s="228"/>
      <c r="J32" s="228"/>
      <c r="K32" s="238" t="s">
        <v>186</v>
      </c>
      <c r="L32" s="239"/>
      <c r="M32" s="240"/>
      <c r="N32" s="228"/>
      <c r="O32" s="228"/>
      <c r="P32" s="238" t="s">
        <v>187</v>
      </c>
      <c r="Q32" s="239"/>
      <c r="R32" s="240"/>
      <c r="S32" s="228"/>
      <c r="T32" s="228"/>
    </row>
    <row r="33" spans="1:20" x14ac:dyDescent="0.25">
      <c r="A33" s="221"/>
      <c r="B33" s="237"/>
      <c r="C33" s="234"/>
      <c r="D33" s="228"/>
      <c r="E33" s="228"/>
      <c r="F33" s="241" t="s">
        <v>188</v>
      </c>
      <c r="G33" s="242"/>
      <c r="H33" s="243" t="s">
        <v>189</v>
      </c>
      <c r="I33" s="228"/>
      <c r="J33" s="228"/>
      <c r="K33" s="241" t="s">
        <v>188</v>
      </c>
      <c r="L33" s="242"/>
      <c r="M33" s="243" t="s">
        <v>189</v>
      </c>
      <c r="N33" s="228"/>
      <c r="O33" s="228"/>
      <c r="P33" s="241"/>
      <c r="Q33" s="244" t="s">
        <v>190</v>
      </c>
      <c r="R33" s="245" t="s">
        <v>191</v>
      </c>
      <c r="S33" s="228"/>
      <c r="T33" s="228"/>
    </row>
    <row r="34" spans="1:20" x14ac:dyDescent="0.25">
      <c r="A34" s="221"/>
      <c r="B34" s="234"/>
      <c r="C34" s="234"/>
      <c r="D34" s="228"/>
      <c r="E34" s="228"/>
      <c r="F34" s="246" t="s">
        <v>1</v>
      </c>
      <c r="G34" s="244" t="s">
        <v>192</v>
      </c>
      <c r="H34" s="243" t="s">
        <v>192</v>
      </c>
      <c r="I34" s="228"/>
      <c r="J34" s="228"/>
      <c r="K34" s="246" t="s">
        <v>1</v>
      </c>
      <c r="L34" s="244" t="s">
        <v>192</v>
      </c>
      <c r="M34" s="243" t="s">
        <v>192</v>
      </c>
      <c r="N34" s="228"/>
      <c r="O34" s="228"/>
      <c r="P34" s="246" t="s">
        <v>1</v>
      </c>
      <c r="Q34" s="244" t="s">
        <v>192</v>
      </c>
      <c r="R34" s="243" t="s">
        <v>192</v>
      </c>
      <c r="S34" s="234"/>
      <c r="T34" s="234"/>
    </row>
    <row r="35" spans="1:20" x14ac:dyDescent="0.25">
      <c r="A35" s="221"/>
      <c r="B35" s="247"/>
      <c r="C35" s="248"/>
      <c r="D35" s="235"/>
      <c r="E35" s="228"/>
      <c r="F35" s="249">
        <v>2010</v>
      </c>
      <c r="G35" s="250">
        <f>(C7*$W$6*$W$9/1000)+(FORECAST!D7*0.8*$W$11*$W$14/1000)+(FORECAST!D7*0.2*$W$15*$W$18/1000)</f>
        <v>0</v>
      </c>
      <c r="H35" s="251">
        <v>0</v>
      </c>
      <c r="I35" s="235"/>
      <c r="J35" s="228"/>
      <c r="K35" s="249">
        <v>2010</v>
      </c>
      <c r="L35" s="250">
        <f>(C7*$W$6*$W$8/1000)+(FORECAST!D7*0.8*$W$11*$W$13/1000)+(FORECAST!D7*0.2*$W$15*$W$17/1000)</f>
        <v>0</v>
      </c>
      <c r="M35" s="251">
        <v>0</v>
      </c>
      <c r="N35" s="252"/>
      <c r="O35" s="228"/>
      <c r="P35" s="249">
        <v>2010</v>
      </c>
      <c r="Q35" s="250">
        <f>+G35-H35</f>
        <v>0</v>
      </c>
      <c r="R35" s="251">
        <f>+L35-M35</f>
        <v>0</v>
      </c>
      <c r="S35" s="253"/>
      <c r="T35" s="254"/>
    </row>
    <row r="36" spans="1:20" x14ac:dyDescent="0.25">
      <c r="A36" s="221"/>
      <c r="B36" s="255"/>
      <c r="C36" s="248"/>
      <c r="D36" s="235"/>
      <c r="E36" s="228"/>
      <c r="F36" s="249" t="s">
        <v>163</v>
      </c>
      <c r="G36" s="250">
        <f>(C8*$W$6*$W$9/1000)+(FORECAST!D8*0.8*$W$11*$W$14/1000)+(FORECAST!D8*0.2*$W$15*$W$18/1000)</f>
        <v>0.34188000000000002</v>
      </c>
      <c r="H36" s="251">
        <v>0.34188000000000002</v>
      </c>
      <c r="I36" s="235"/>
      <c r="J36" s="228"/>
      <c r="K36" s="249" t="s">
        <v>163</v>
      </c>
      <c r="L36" s="250">
        <f>(C8*$W$6*$W$8/1000)+(FORECAST!D8*0.8*$W$11*$W$13/1000)+(FORECAST!D8*0.2*$W$15*$W$17/1000)</f>
        <v>0.17094000000000001</v>
      </c>
      <c r="M36" s="251">
        <v>0.17094000000000001</v>
      </c>
      <c r="N36" s="252"/>
      <c r="O36" s="228"/>
      <c r="P36" s="249" t="s">
        <v>163</v>
      </c>
      <c r="Q36" s="250">
        <f t="shared" ref="Q36:Q55" si="9">+G36-H36</f>
        <v>0</v>
      </c>
      <c r="R36" s="251">
        <f t="shared" ref="R36:R54" si="10">+L36-M36</f>
        <v>0</v>
      </c>
      <c r="S36" s="253"/>
      <c r="T36" s="254"/>
    </row>
    <row r="37" spans="1:20" x14ac:dyDescent="0.25">
      <c r="A37" s="221"/>
      <c r="B37" s="255"/>
      <c r="C37" s="256"/>
      <c r="D37" s="235"/>
      <c r="E37" s="228"/>
      <c r="F37" s="249" t="s">
        <v>164</v>
      </c>
      <c r="G37" s="250">
        <f>(C9*$W$6*$W$9/1000)+(FORECAST!D9*0.8*$W$11*$W$14/1000)+(FORECAST!D9*0.2*$W$15*$W$18/1000)</f>
        <v>1.8204320000000001</v>
      </c>
      <c r="H37" s="251">
        <v>1.8204320000000001</v>
      </c>
      <c r="I37" s="235"/>
      <c r="J37" s="228"/>
      <c r="K37" s="249" t="s">
        <v>164</v>
      </c>
      <c r="L37" s="250">
        <f>(C9*$W$6*$W$8/1000)+(FORECAST!D9*0.8*$W$11*$W$13/1000)+(FORECAST!D9*0.2*$W$15*$W$17/1000)</f>
        <v>0.91021600000000003</v>
      </c>
      <c r="M37" s="251">
        <v>0.91021600000000003</v>
      </c>
      <c r="N37" s="252"/>
      <c r="O37" s="228"/>
      <c r="P37" s="249" t="s">
        <v>164</v>
      </c>
      <c r="Q37" s="250">
        <f t="shared" si="9"/>
        <v>0</v>
      </c>
      <c r="R37" s="251">
        <f t="shared" si="10"/>
        <v>0</v>
      </c>
      <c r="S37" s="253"/>
      <c r="T37" s="254"/>
    </row>
    <row r="38" spans="1:20" x14ac:dyDescent="0.25">
      <c r="A38" s="221"/>
      <c r="B38" s="255"/>
      <c r="C38" s="256"/>
      <c r="D38" s="235"/>
      <c r="E38" s="228"/>
      <c r="F38" s="249" t="s">
        <v>165</v>
      </c>
      <c r="G38" s="250">
        <f>(C10*$W$6*$W$9/1000)+(FORECAST!D10*0.8*$W$11*$W$14/1000)+(FORECAST!D10*0.2*$W$15*$W$18/1000)</f>
        <v>6.2175280000000006</v>
      </c>
      <c r="H38" s="251">
        <v>6.1973039999999999</v>
      </c>
      <c r="I38" s="235"/>
      <c r="J38" s="228"/>
      <c r="K38" s="249" t="s">
        <v>165</v>
      </c>
      <c r="L38" s="250">
        <f>(C10*$W$6*$W$8/1000)+(FORECAST!D10*0.8*$W$11*$W$13/1000)+(FORECAST!D10*0.2*$W$15*$W$17/1000)</f>
        <v>3.1087640000000003</v>
      </c>
      <c r="M38" s="251">
        <v>3.098652</v>
      </c>
      <c r="N38" s="252"/>
      <c r="O38" s="228"/>
      <c r="P38" s="249" t="s">
        <v>165</v>
      </c>
      <c r="Q38" s="250">
        <f t="shared" si="9"/>
        <v>2.0224000000000686E-2</v>
      </c>
      <c r="R38" s="251">
        <f t="shared" si="10"/>
        <v>1.0112000000000343E-2</v>
      </c>
      <c r="S38" s="253"/>
      <c r="T38" s="254"/>
    </row>
    <row r="39" spans="1:20" x14ac:dyDescent="0.25">
      <c r="A39" s="221"/>
      <c r="B39" s="255"/>
      <c r="C39" s="256"/>
      <c r="D39" s="235"/>
      <c r="E39" s="228"/>
      <c r="F39" s="249" t="s">
        <v>166</v>
      </c>
      <c r="G39" s="250">
        <f>(C11*$W$6*$W$9/1000)+(FORECAST!D11*0.8*$W$11*$W$14/1000)+(FORECAST!D11*0.2*$W$15*$W$18/1000)</f>
        <v>10.081344</v>
      </c>
      <c r="H39" s="251">
        <v>8.8572800000000012</v>
      </c>
      <c r="I39" s="235"/>
      <c r="J39" s="228"/>
      <c r="K39" s="249" t="s">
        <v>166</v>
      </c>
      <c r="L39" s="250">
        <f>(C11*$W$6*$W$8/1000)+(FORECAST!D11*0.8*$W$11*$W$13/1000)+(FORECAST!D11*0.2*$W$15*$W$17/1000)</f>
        <v>5.0406719999999998</v>
      </c>
      <c r="M39" s="251">
        <v>4.4286400000000006</v>
      </c>
      <c r="N39" s="252"/>
      <c r="O39" s="228"/>
      <c r="P39" s="249" t="s">
        <v>166</v>
      </c>
      <c r="Q39" s="250">
        <f t="shared" si="9"/>
        <v>1.2240639999999985</v>
      </c>
      <c r="R39" s="251">
        <f t="shared" si="10"/>
        <v>0.61203199999999924</v>
      </c>
      <c r="S39" s="253"/>
      <c r="T39" s="254"/>
    </row>
    <row r="40" spans="1:20" x14ac:dyDescent="0.25">
      <c r="A40" s="221"/>
      <c r="B40" s="255"/>
      <c r="C40" s="256"/>
      <c r="D40" s="235"/>
      <c r="E40" s="228"/>
      <c r="F40" s="249" t="s">
        <v>167</v>
      </c>
      <c r="G40" s="250">
        <f>(C12*$W$6*$W$9/1000)+(FORECAST!D12*0.8*$W$11*$W$14/1000)+(FORECAST!D12*0.2*$W$15*$W$18/1000)</f>
        <v>14.108107168</v>
      </c>
      <c r="H40" s="251">
        <v>12.654199999999999</v>
      </c>
      <c r="I40" s="235"/>
      <c r="J40" s="228"/>
      <c r="K40" s="249" t="s">
        <v>167</v>
      </c>
      <c r="L40" s="250">
        <f>(C12*$W$6*$W$8/1000)+(FORECAST!D12*0.8*$W$11*$W$13/1000)+(FORECAST!D12*0.2*$W$15*$W$17/1000)</f>
        <v>7.054053584</v>
      </c>
      <c r="M40" s="251">
        <v>6.3270999999999997</v>
      </c>
      <c r="N40" s="252"/>
      <c r="O40" s="228"/>
      <c r="P40" s="249" t="s">
        <v>167</v>
      </c>
      <c r="Q40" s="250">
        <f t="shared" si="9"/>
        <v>1.4539071680000006</v>
      </c>
      <c r="R40" s="251">
        <f t="shared" si="10"/>
        <v>0.72695358400000032</v>
      </c>
      <c r="S40" s="253"/>
      <c r="T40" s="254"/>
    </row>
    <row r="41" spans="1:20" x14ac:dyDescent="0.25">
      <c r="A41" s="221"/>
      <c r="B41" s="255"/>
      <c r="C41" s="256"/>
      <c r="D41" s="235"/>
      <c r="E41" s="228"/>
      <c r="F41" s="249" t="s">
        <v>168</v>
      </c>
      <c r="G41" s="250">
        <f>(C13*$W$6*$W$9/1000)+(FORECAST!D13*0.8*$W$11*$W$14/1000)+(FORECAST!D13*0.2*$W$15*$W$18/1000)</f>
        <v>20.871139167999996</v>
      </c>
      <c r="H41" s="251">
        <v>17.944080000000003</v>
      </c>
      <c r="I41" s="235"/>
      <c r="J41" s="228"/>
      <c r="K41" s="249" t="s">
        <v>168</v>
      </c>
      <c r="L41" s="250">
        <f>(C13*$W$6*$W$8/1000)+(FORECAST!D13*0.8*$W$11*$W$13/1000)+(FORECAST!D13*0.2*$W$15*$W$17/1000)</f>
        <v>10.435569583999998</v>
      </c>
      <c r="M41" s="251">
        <v>8.9720400000000016</v>
      </c>
      <c r="N41" s="252"/>
      <c r="O41" s="228"/>
      <c r="P41" s="249" t="s">
        <v>168</v>
      </c>
      <c r="Q41" s="250">
        <f t="shared" si="9"/>
        <v>2.9270591679999924</v>
      </c>
      <c r="R41" s="251">
        <f t="shared" si="10"/>
        <v>1.4635295839999962</v>
      </c>
      <c r="S41" s="253"/>
      <c r="T41" s="254"/>
    </row>
    <row r="42" spans="1:20" x14ac:dyDescent="0.25">
      <c r="A42" s="221"/>
      <c r="B42" s="255"/>
      <c r="C42" s="256"/>
      <c r="D42" s="235"/>
      <c r="E42" s="228"/>
      <c r="F42" s="249" t="s">
        <v>169</v>
      </c>
      <c r="G42" s="250">
        <f>(C14*$W$6*$W$9/1000)+(FORECAST!D14*0.8*$W$11*$W$14/1000)+(FORECAST!D14*0.2*$W$15*$W$18/1000)</f>
        <v>32.035177103999992</v>
      </c>
      <c r="H42" s="251">
        <v>23.790997632</v>
      </c>
      <c r="I42" s="235"/>
      <c r="J42" s="228"/>
      <c r="K42" s="249" t="s">
        <v>169</v>
      </c>
      <c r="L42" s="250">
        <f>(C14*$W$6*$W$8/1000)+(FORECAST!D14*0.8*$W$11*$W$13/1000)+(FORECAST!D14*0.2*$W$15*$W$17/1000)</f>
        <v>16.017588551999996</v>
      </c>
      <c r="M42" s="251">
        <v>11.895498816</v>
      </c>
      <c r="N42" s="252"/>
      <c r="O42" s="228"/>
      <c r="P42" s="249" t="s">
        <v>169</v>
      </c>
      <c r="Q42" s="250">
        <f t="shared" si="9"/>
        <v>8.2441794719999919</v>
      </c>
      <c r="R42" s="251">
        <f t="shared" si="10"/>
        <v>4.122089735999996</v>
      </c>
      <c r="S42" s="253"/>
      <c r="T42" s="254"/>
    </row>
    <row r="43" spans="1:20" x14ac:dyDescent="0.25">
      <c r="A43" s="221"/>
      <c r="B43" s="255"/>
      <c r="C43" s="256"/>
      <c r="D43" s="235"/>
      <c r="E43" s="228"/>
      <c r="F43" s="249" t="s">
        <v>170</v>
      </c>
      <c r="G43" s="250">
        <f>(C15*$W$6*$W$9/1000)+(FORECAST!D15*0.8*$W$11*$W$14/1000)+(FORECAST!D15*0.2*$W$15*$W$18/1000)</f>
        <v>55.323638559999985</v>
      </c>
      <c r="H43" s="251">
        <v>30.454272719999999</v>
      </c>
      <c r="I43" s="235"/>
      <c r="J43" s="228"/>
      <c r="K43" s="249" t="s">
        <v>170</v>
      </c>
      <c r="L43" s="250">
        <f>(C15*$W$6*$W$8/1000)+(FORECAST!D15*0.8*$W$11*$W$13/1000)+(FORECAST!D15*0.2*$W$15*$W$17/1000)</f>
        <v>27.661819279999992</v>
      </c>
      <c r="M43" s="251">
        <v>15.227136359999999</v>
      </c>
      <c r="N43" s="252"/>
      <c r="O43" s="228"/>
      <c r="P43" s="249" t="s">
        <v>170</v>
      </c>
      <c r="Q43" s="250">
        <f t="shared" si="9"/>
        <v>24.869365839999986</v>
      </c>
      <c r="R43" s="251">
        <f t="shared" si="10"/>
        <v>12.434682919999993</v>
      </c>
      <c r="S43" s="253"/>
      <c r="T43" s="254"/>
    </row>
    <row r="44" spans="1:20" x14ac:dyDescent="0.25">
      <c r="A44" s="221"/>
      <c r="B44" s="255"/>
      <c r="C44" s="256"/>
      <c r="D44" s="235"/>
      <c r="E44" s="228"/>
      <c r="F44" s="249" t="s">
        <v>171</v>
      </c>
      <c r="G44" s="250">
        <f>(C16*$W$6*$W$9/1000)+(FORECAST!D16*0.8*$W$11*$W$14/1000)+(FORECAST!D16*0.2*$W$15*$W$18/1000)</f>
        <v>82.810365839999974</v>
      </c>
      <c r="H44" s="251">
        <v>39.021331064000002</v>
      </c>
      <c r="I44" s="235"/>
      <c r="J44" s="228"/>
      <c r="K44" s="249" t="s">
        <v>171</v>
      </c>
      <c r="L44" s="250">
        <f>(C16*$W$6*$W$8/1000)+(FORECAST!D16*0.8*$W$11*$W$13/1000)+(FORECAST!D16*0.2*$W$15*$W$17/1000)</f>
        <v>41.405182919999987</v>
      </c>
      <c r="M44" s="251">
        <v>19.510665532000001</v>
      </c>
      <c r="N44" s="252"/>
      <c r="O44" s="228"/>
      <c r="P44" s="249" t="s">
        <v>171</v>
      </c>
      <c r="Q44" s="250">
        <f t="shared" si="9"/>
        <v>43.789034775999973</v>
      </c>
      <c r="R44" s="251">
        <f t="shared" si="10"/>
        <v>21.894517387999986</v>
      </c>
      <c r="S44" s="253"/>
      <c r="T44" s="254"/>
    </row>
    <row r="45" spans="1:20" x14ac:dyDescent="0.25">
      <c r="A45" s="221"/>
      <c r="B45" s="255"/>
      <c r="C45" s="256"/>
      <c r="D45" s="235"/>
      <c r="E45" s="228"/>
      <c r="F45" s="249" t="s">
        <v>172</v>
      </c>
      <c r="G45" s="250">
        <f>(C17*$W$6*$W$9/1000)+(FORECAST!D17*0.8*$W$11*$W$14/1000)+(FORECAST!D17*0.2*$W$15*$W$18/1000)</f>
        <v>111.71719748399997</v>
      </c>
      <c r="H45" s="251">
        <v>52.67855379200001</v>
      </c>
      <c r="I45" s="235"/>
      <c r="J45" s="228"/>
      <c r="K45" s="249" t="s">
        <v>172</v>
      </c>
      <c r="L45" s="250">
        <f>(C17*$W$6*$W$8/1000)+(FORECAST!D17*0.8*$W$11*$W$13/1000)+(FORECAST!D17*0.2*$W$15*$W$17/1000)</f>
        <v>55.858598741999984</v>
      </c>
      <c r="M45" s="251">
        <v>26.339276896000005</v>
      </c>
      <c r="N45" s="252"/>
      <c r="O45" s="228"/>
      <c r="P45" s="249" t="s">
        <v>172</v>
      </c>
      <c r="Q45" s="250">
        <f t="shared" si="9"/>
        <v>59.038643691999958</v>
      </c>
      <c r="R45" s="251">
        <f t="shared" si="10"/>
        <v>29.519321845999979</v>
      </c>
      <c r="S45" s="253"/>
      <c r="T45" s="254"/>
    </row>
    <row r="46" spans="1:20" x14ac:dyDescent="0.25">
      <c r="A46" s="221"/>
      <c r="B46" s="255"/>
      <c r="C46" s="256"/>
      <c r="D46" s="235"/>
      <c r="E46" s="228"/>
      <c r="F46" s="249" t="s">
        <v>173</v>
      </c>
      <c r="G46" s="250">
        <f>(C18*$W$6*$W$9/1000)+(FORECAST!D18*0.8*$W$11*$W$14/1000)+(FORECAST!D18*0.2*$W$15*$W$18/1000)</f>
        <v>145.13365512920001</v>
      </c>
      <c r="H46" s="251">
        <v>71.116156063999995</v>
      </c>
      <c r="I46" s="235"/>
      <c r="J46" s="228"/>
      <c r="K46" s="249" t="s">
        <v>173</v>
      </c>
      <c r="L46" s="250">
        <f>(C18*$W$6*$W$8/1000)+(FORECAST!D18*0.8*$W$11*$W$13/1000)+(FORECAST!D18*0.2*$W$15*$W$17/1000)</f>
        <v>72.566827564600004</v>
      </c>
      <c r="M46" s="251">
        <v>35.558078031999997</v>
      </c>
      <c r="N46" s="252"/>
      <c r="O46" s="228"/>
      <c r="P46" s="249" t="s">
        <v>173</v>
      </c>
      <c r="Q46" s="250">
        <f t="shared" si="9"/>
        <v>74.017499065200013</v>
      </c>
      <c r="R46" s="251">
        <f t="shared" si="10"/>
        <v>37.008749532600007</v>
      </c>
      <c r="S46" s="253"/>
      <c r="T46" s="254"/>
    </row>
    <row r="47" spans="1:20" x14ac:dyDescent="0.25">
      <c r="A47" s="221"/>
      <c r="B47" s="255"/>
      <c r="C47" s="256"/>
      <c r="D47" s="235"/>
      <c r="E47" s="228"/>
      <c r="F47" s="249" t="s">
        <v>174</v>
      </c>
      <c r="G47" s="250">
        <f>(C19*$W$6*$W$9/1000)+(FORECAST!D19*0.8*$W$11*$W$14/1000)+(FORECAST!D19*0.2*$W$15*$W$18/1000)</f>
        <v>181.39371291149996</v>
      </c>
      <c r="H47" s="251">
        <v>96.006408152000006</v>
      </c>
      <c r="I47" s="235"/>
      <c r="J47" s="228"/>
      <c r="K47" s="249" t="s">
        <v>174</v>
      </c>
      <c r="L47" s="250">
        <f>(C19*$W$6*$W$8/1000)+(FORECAST!D19*0.8*$W$11*$W$13/1000)+(FORECAST!D19*0.2*$W$15*$W$17/1000)</f>
        <v>90.69685645574998</v>
      </c>
      <c r="M47" s="251">
        <v>48.003204076000003</v>
      </c>
      <c r="N47" s="252"/>
      <c r="O47" s="228"/>
      <c r="P47" s="249" t="s">
        <v>174</v>
      </c>
      <c r="Q47" s="250">
        <f t="shared" si="9"/>
        <v>85.387304759499955</v>
      </c>
      <c r="R47" s="251">
        <f t="shared" si="10"/>
        <v>42.693652379749977</v>
      </c>
      <c r="S47" s="253"/>
      <c r="T47" s="254"/>
    </row>
    <row r="48" spans="1:20" x14ac:dyDescent="0.25">
      <c r="A48" s="221"/>
      <c r="B48" s="255"/>
      <c r="C48" s="256"/>
      <c r="D48" s="235"/>
      <c r="E48" s="228"/>
      <c r="F48" s="249" t="s">
        <v>175</v>
      </c>
      <c r="G48" s="250">
        <f>(C20*$W$6*$W$9/1000)+(FORECAST!D20*0.8*$W$11*$W$14/1000)+(FORECAST!D20*0.2*$W$15*$W$18/1000)</f>
        <v>224.95506705025997</v>
      </c>
      <c r="H48" s="251">
        <v>129.696220528</v>
      </c>
      <c r="I48" s="235"/>
      <c r="J48" s="228"/>
      <c r="K48" s="249" t="s">
        <v>175</v>
      </c>
      <c r="L48" s="250">
        <f>(C20*$W$6*$W$8/1000)+(FORECAST!D20*0.8*$W$11*$W$13/1000)+(FORECAST!D20*0.2*$W$15*$W$17/1000)</f>
        <v>112.47753352512999</v>
      </c>
      <c r="M48" s="251">
        <v>64.848110263999999</v>
      </c>
      <c r="N48" s="252"/>
      <c r="O48" s="228"/>
      <c r="P48" s="249" t="s">
        <v>175</v>
      </c>
      <c r="Q48" s="250">
        <f t="shared" si="9"/>
        <v>95.258846522259972</v>
      </c>
      <c r="R48" s="251">
        <f t="shared" si="10"/>
        <v>47.629423261129986</v>
      </c>
      <c r="S48" s="253"/>
      <c r="T48" s="254"/>
    </row>
    <row r="49" spans="1:20" x14ac:dyDescent="0.25">
      <c r="A49" s="221"/>
      <c r="B49" s="255"/>
      <c r="C49" s="256"/>
      <c r="D49" s="235"/>
      <c r="E49" s="228"/>
      <c r="F49" s="249" t="s">
        <v>176</v>
      </c>
      <c r="G49" s="250">
        <f>(C21*$W$6*$W$9/1000)+(FORECAST!D21*0.8*$W$11*$W$14/1000)+(FORECAST!D21*0.2*$W$15*$W$18/1000)</f>
        <v>280.99659381282504</v>
      </c>
      <c r="H49" s="251">
        <v>181.44854647199998</v>
      </c>
      <c r="I49" s="235"/>
      <c r="J49" s="228"/>
      <c r="K49" s="249" t="s">
        <v>176</v>
      </c>
      <c r="L49" s="250">
        <f>(C21*$W$6*$W$8/1000)+(FORECAST!D21*0.8*$W$11*$W$13/1000)+(FORECAST!D21*0.2*$W$15*$W$17/1000)</f>
        <v>140.49829690641252</v>
      </c>
      <c r="M49" s="251">
        <v>90.724273235999988</v>
      </c>
      <c r="N49" s="252"/>
      <c r="O49" s="228"/>
      <c r="P49" s="249" t="s">
        <v>176</v>
      </c>
      <c r="Q49" s="250">
        <f t="shared" si="9"/>
        <v>99.548047340825065</v>
      </c>
      <c r="R49" s="251">
        <f t="shared" si="10"/>
        <v>49.774023670412532</v>
      </c>
      <c r="S49" s="253"/>
      <c r="T49" s="254"/>
    </row>
    <row r="50" spans="1:20" x14ac:dyDescent="0.25">
      <c r="A50" s="221"/>
      <c r="B50" s="255"/>
      <c r="C50" s="256"/>
      <c r="D50" s="235"/>
      <c r="E50" s="228"/>
      <c r="F50" s="249" t="s">
        <v>178</v>
      </c>
      <c r="G50" s="250">
        <f>(C22*$W$6*$W$9/1000)+(FORECAST!D22*0.8*$W$11*$W$14/1000)+(FORECAST!D22*0.2*$W$15*$W$18/1000)</f>
        <v>337.19617657538998</v>
      </c>
      <c r="H50" s="251">
        <v>244.95946830399998</v>
      </c>
      <c r="I50" s="235"/>
      <c r="J50" s="228"/>
      <c r="K50" s="249" t="s">
        <v>178</v>
      </c>
      <c r="L50" s="250">
        <f>(C22*$W$6*$W$8/1000)+(FORECAST!D22*0.8*$W$11*$W$13/1000)+(FORECAST!D22*0.2*$W$15*$W$17/1000)</f>
        <v>168.59808828769499</v>
      </c>
      <c r="M50" s="251">
        <v>122.47973415199999</v>
      </c>
      <c r="N50" s="252"/>
      <c r="O50" s="228"/>
      <c r="P50" s="249" t="s">
        <v>178</v>
      </c>
      <c r="Q50" s="250">
        <f t="shared" si="9"/>
        <v>92.23670827139</v>
      </c>
      <c r="R50" s="251">
        <f t="shared" si="10"/>
        <v>46.118354135695</v>
      </c>
      <c r="S50" s="253"/>
      <c r="T50" s="254"/>
    </row>
    <row r="51" spans="1:20" x14ac:dyDescent="0.25">
      <c r="A51" s="221"/>
      <c r="B51" s="255"/>
      <c r="C51" s="256"/>
      <c r="D51" s="235"/>
      <c r="E51" s="228"/>
      <c r="F51" s="249" t="s">
        <v>179</v>
      </c>
      <c r="G51" s="250">
        <f>(C23*$W$6*$W$9/1000)+(FORECAST!D23*0.8*$W$11*$W$14/1000)+(FORECAST!D23*0.2*$W$15*$W$18/1000)</f>
        <v>404.63844549046786</v>
      </c>
      <c r="H51" s="251">
        <v>330.00049134400001</v>
      </c>
      <c r="I51" s="235"/>
      <c r="J51" s="228"/>
      <c r="K51" s="249" t="s">
        <v>179</v>
      </c>
      <c r="L51" s="250">
        <f>(C23*$W$6*$W$8/1000)+(FORECAST!D23*0.8*$W$11*$W$13/1000)+(FORECAST!D23*0.2*$W$15*$W$17/1000)</f>
        <v>202.31922274523393</v>
      </c>
      <c r="M51" s="251">
        <v>165.00024567200001</v>
      </c>
      <c r="N51" s="252"/>
      <c r="O51" s="228"/>
      <c r="P51" s="249" t="s">
        <v>179</v>
      </c>
      <c r="Q51" s="250">
        <f t="shared" si="9"/>
        <v>74.637954146467848</v>
      </c>
      <c r="R51" s="251">
        <f t="shared" si="10"/>
        <v>37.318977073233924</v>
      </c>
      <c r="S51" s="253"/>
      <c r="T51" s="254"/>
    </row>
    <row r="52" spans="1:20" x14ac:dyDescent="0.25">
      <c r="A52" s="221"/>
      <c r="B52" s="255"/>
      <c r="C52" s="256"/>
      <c r="D52" s="235"/>
      <c r="E52" s="228"/>
      <c r="F52" s="249" t="s">
        <v>181</v>
      </c>
      <c r="G52" s="250">
        <f>(C24*$W$6*$W$9/1000)+(FORECAST!D24*0.8*$W$11*$W$14/1000)+(FORECAST!D24*0.2*$W$15*$W$18/1000)</f>
        <v>485.56490418856146</v>
      </c>
      <c r="H52" s="251">
        <v>395.99629316800002</v>
      </c>
      <c r="I52" s="235"/>
      <c r="J52" s="228"/>
      <c r="K52" s="249" t="s">
        <v>181</v>
      </c>
      <c r="L52" s="250">
        <f>(C24*$W$6*$W$8/1000)+(FORECAST!D24*0.8*$W$11*$W$13/1000)+(FORECAST!D24*0.2*$W$15*$W$17/1000)</f>
        <v>242.78245209428073</v>
      </c>
      <c r="M52" s="251">
        <v>197.99814658400001</v>
      </c>
      <c r="N52" s="252"/>
      <c r="O52" s="228"/>
      <c r="P52" s="249" t="s">
        <v>181</v>
      </c>
      <c r="Q52" s="250">
        <f t="shared" si="9"/>
        <v>89.568611020561434</v>
      </c>
      <c r="R52" s="251">
        <f t="shared" si="10"/>
        <v>44.784305510280717</v>
      </c>
      <c r="S52" s="253"/>
      <c r="T52" s="254"/>
    </row>
    <row r="53" spans="1:20" x14ac:dyDescent="0.25">
      <c r="A53" s="221"/>
      <c r="B53" s="255"/>
      <c r="C53" s="256"/>
      <c r="D53" s="235"/>
      <c r="E53" s="228"/>
      <c r="F53" s="249" t="s">
        <v>182</v>
      </c>
      <c r="G53" s="250">
        <f>(C25*$W$6*$W$9/1000)+(FORECAST!D25*0.8*$W$11*$W$14/1000)+(FORECAST!D25*0.2*$W$15*$W$18/1000)</f>
        <v>582.67634582627386</v>
      </c>
      <c r="H53" s="251">
        <v>475.1965120239999</v>
      </c>
      <c r="I53" s="235"/>
      <c r="J53" s="228"/>
      <c r="K53" s="249" t="s">
        <v>182</v>
      </c>
      <c r="L53" s="250">
        <f>(C25*$W$6*$W$8/1000)+(FORECAST!D25*0.8*$W$11*$W$13/1000)+(FORECAST!D25*0.2*$W$15*$W$17/1000)</f>
        <v>291.33817291313693</v>
      </c>
      <c r="M53" s="251">
        <v>237.59825601199995</v>
      </c>
      <c r="N53" s="252"/>
      <c r="O53" s="228"/>
      <c r="P53" s="249" t="s">
        <v>182</v>
      </c>
      <c r="Q53" s="250">
        <f t="shared" si="9"/>
        <v>107.47983380227396</v>
      </c>
      <c r="R53" s="251">
        <f t="shared" si="10"/>
        <v>53.739916901136979</v>
      </c>
      <c r="S53" s="253"/>
      <c r="T53" s="254"/>
    </row>
    <row r="54" spans="1:20" x14ac:dyDescent="0.25">
      <c r="A54" s="221"/>
      <c r="B54" s="255"/>
      <c r="C54" s="256"/>
      <c r="D54" s="235"/>
      <c r="E54" s="228"/>
      <c r="F54" s="249" t="s">
        <v>183</v>
      </c>
      <c r="G54" s="250">
        <f>(C26*$W$6*$W$9/1000)+(FORECAST!D26*0.8*$W$11*$W$14/1000)+(FORECAST!D26*0.2*$W$15*$W$18/1000)</f>
        <v>699.21236219152865</v>
      </c>
      <c r="H54" s="251">
        <v>570.23935749600003</v>
      </c>
      <c r="I54" s="235"/>
      <c r="J54" s="228"/>
      <c r="K54" s="249" t="s">
        <v>183</v>
      </c>
      <c r="L54" s="250">
        <f>(C26*$W$6*$W$8/1000)+(FORECAST!D26*0.8*$W$11*$W$13/1000)+(FORECAST!D26*0.2*$W$15*$W$17/1000)</f>
        <v>349.60618109576433</v>
      </c>
      <c r="M54" s="251">
        <v>285.11967874800001</v>
      </c>
      <c r="N54" s="252"/>
      <c r="O54" s="228"/>
      <c r="P54" s="249" t="s">
        <v>183</v>
      </c>
      <c r="Q54" s="250">
        <f t="shared" si="9"/>
        <v>128.97300469552863</v>
      </c>
      <c r="R54" s="251">
        <f t="shared" si="10"/>
        <v>64.486502347764315</v>
      </c>
      <c r="S54" s="253"/>
      <c r="T54" s="254"/>
    </row>
    <row r="55" spans="1:20" ht="13.8" thickBot="1" x14ac:dyDescent="0.3">
      <c r="A55" s="221"/>
      <c r="B55" s="255"/>
      <c r="C55" s="256"/>
      <c r="D55" s="235"/>
      <c r="E55" s="228"/>
      <c r="F55" s="257" t="s">
        <v>184</v>
      </c>
      <c r="G55" s="258">
        <f>(C27*$W$6*$W$9/1000)+(FORECAST!D27*0.8*$W$11*$W$14/1000)+(FORECAST!D27*0.2*$W$15*$W$18/1000)</f>
        <v>824.93672422983445</v>
      </c>
      <c r="H55" s="259">
        <v>672.76642672799994</v>
      </c>
      <c r="I55" s="235"/>
      <c r="J55" s="228"/>
      <c r="K55" s="257" t="s">
        <v>184</v>
      </c>
      <c r="L55" s="258">
        <f>(C27*$W$6*$W$8/1000)+(FORECAST!D27*0.8*$W$11*$W$13/1000)+(FORECAST!D27*0.2*$W$15*$W$17/1000)</f>
        <v>412.46836211491723</v>
      </c>
      <c r="M55" s="259">
        <v>336.38321336399997</v>
      </c>
      <c r="N55" s="252"/>
      <c r="O55" s="228"/>
      <c r="P55" s="257" t="s">
        <v>184</v>
      </c>
      <c r="Q55" s="258">
        <f t="shared" si="9"/>
        <v>152.17029750183451</v>
      </c>
      <c r="R55" s="259">
        <f>+L55-M55</f>
        <v>76.085148750917256</v>
      </c>
      <c r="S55" s="253"/>
      <c r="T55" s="254"/>
    </row>
    <row r="56" spans="1:20" x14ac:dyDescent="0.25">
      <c r="A56" s="221"/>
      <c r="B56" s="233"/>
      <c r="C56" s="248"/>
      <c r="D56" s="248"/>
      <c r="E56" s="228"/>
      <c r="F56" s="226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8"/>
      <c r="R56" s="260"/>
      <c r="S56" s="260"/>
      <c r="T56" s="228"/>
    </row>
    <row r="57" spans="1:20" x14ac:dyDescent="0.25">
      <c r="A57" s="221"/>
      <c r="B57" s="233"/>
      <c r="C57" s="248"/>
      <c r="D57" s="248"/>
      <c r="E57" s="228"/>
      <c r="F57" s="226"/>
      <c r="G57" s="228"/>
      <c r="H57" s="228"/>
      <c r="I57" s="228"/>
      <c r="J57" s="228"/>
      <c r="K57" s="236"/>
      <c r="L57" s="228"/>
      <c r="M57" s="228"/>
      <c r="N57" s="228"/>
      <c r="O57" s="228"/>
      <c r="P57" s="228"/>
      <c r="Q57" s="228"/>
      <c r="R57" s="228"/>
      <c r="S57" s="228"/>
      <c r="T57" s="228"/>
    </row>
    <row r="58" spans="1:20" x14ac:dyDescent="0.25">
      <c r="A58" s="221"/>
      <c r="B58" s="237"/>
      <c r="C58" s="248"/>
      <c r="D58" s="228"/>
      <c r="E58" s="228"/>
      <c r="F58" s="2"/>
      <c r="H58" s="2"/>
      <c r="I58" s="228"/>
      <c r="J58" s="228"/>
      <c r="K58" s="234"/>
      <c r="L58" s="228"/>
      <c r="M58" s="228"/>
      <c r="N58" s="228"/>
      <c r="O58" s="228"/>
      <c r="P58" s="228"/>
      <c r="Q58" s="228"/>
      <c r="R58" s="228"/>
      <c r="S58" s="228"/>
      <c r="T58" s="228"/>
    </row>
    <row r="59" spans="1:20" x14ac:dyDescent="0.25">
      <c r="A59" s="221"/>
      <c r="B59" s="237"/>
      <c r="C59" s="248"/>
      <c r="D59" s="228"/>
      <c r="E59" s="228"/>
      <c r="F59" s="2"/>
      <c r="H59" s="2"/>
      <c r="I59" s="228"/>
      <c r="J59" s="228"/>
      <c r="K59" s="244"/>
      <c r="L59" s="236"/>
      <c r="M59" s="234"/>
      <c r="N59" s="228"/>
      <c r="O59" s="228"/>
      <c r="P59" s="261"/>
      <c r="Q59" s="228"/>
      <c r="R59" s="228"/>
      <c r="S59" s="228"/>
      <c r="T59" s="228"/>
    </row>
    <row r="60" spans="1:20" x14ac:dyDescent="0.25">
      <c r="A60" s="221"/>
      <c r="B60" s="234"/>
      <c r="C60" s="248"/>
      <c r="D60" s="228"/>
      <c r="E60" s="228"/>
      <c r="F60" s="2"/>
      <c r="H60" s="2"/>
      <c r="I60" s="228"/>
      <c r="J60" s="228"/>
      <c r="K60" s="248"/>
      <c r="L60" s="248"/>
      <c r="M60" s="262"/>
      <c r="N60" s="228"/>
      <c r="O60" s="228"/>
      <c r="P60" s="234"/>
      <c r="Q60" s="234"/>
      <c r="R60" s="236"/>
      <c r="S60" s="236"/>
      <c r="T60" s="234"/>
    </row>
    <row r="61" spans="1:20" x14ac:dyDescent="0.25">
      <c r="A61" s="221"/>
      <c r="B61" s="247"/>
      <c r="C61" s="248"/>
      <c r="D61" s="228"/>
      <c r="E61" s="228"/>
      <c r="F61" s="2"/>
      <c r="H61" s="2"/>
      <c r="I61" s="228"/>
      <c r="J61" s="228"/>
      <c r="K61" s="248"/>
      <c r="L61" s="248"/>
      <c r="M61" s="262"/>
      <c r="N61" s="263"/>
      <c r="O61" s="228"/>
      <c r="P61" s="264"/>
      <c r="Q61" s="264"/>
      <c r="R61" s="253"/>
      <c r="S61" s="253"/>
      <c r="T61" s="254"/>
    </row>
    <row r="62" spans="1:20" x14ac:dyDescent="0.25">
      <c r="A62" s="221"/>
      <c r="B62" s="255"/>
      <c r="C62" s="248"/>
      <c r="D62" s="228"/>
      <c r="E62" s="228"/>
      <c r="F62" s="2"/>
      <c r="H62" s="2"/>
      <c r="I62" s="228"/>
      <c r="J62" s="228"/>
      <c r="K62" s="248"/>
      <c r="L62" s="248"/>
      <c r="M62" s="262"/>
      <c r="N62" s="263"/>
      <c r="O62" s="228"/>
      <c r="P62" s="264"/>
      <c r="Q62" s="264"/>
      <c r="R62" s="253"/>
      <c r="S62" s="253"/>
      <c r="T62" s="254"/>
    </row>
    <row r="63" spans="1:20" x14ac:dyDescent="0.25">
      <c r="A63" s="221"/>
      <c r="B63" s="255"/>
      <c r="C63" s="248"/>
      <c r="D63" s="228"/>
      <c r="E63" s="228"/>
      <c r="F63" s="2"/>
      <c r="H63" s="2"/>
      <c r="I63" s="228"/>
      <c r="J63" s="228"/>
      <c r="K63" s="248"/>
      <c r="L63" s="248"/>
      <c r="M63" s="262"/>
      <c r="N63" s="263"/>
      <c r="O63" s="228"/>
      <c r="P63" s="264"/>
      <c r="Q63" s="264"/>
      <c r="R63" s="253"/>
      <c r="S63" s="253"/>
      <c r="T63" s="254"/>
    </row>
    <row r="64" spans="1:20" x14ac:dyDescent="0.25">
      <c r="A64" s="221"/>
      <c r="B64" s="255"/>
      <c r="C64" s="248"/>
      <c r="D64" s="228"/>
      <c r="E64" s="228"/>
      <c r="F64" s="2"/>
      <c r="H64" s="2"/>
      <c r="I64" s="228"/>
      <c r="J64" s="228"/>
      <c r="K64" s="248"/>
      <c r="L64" s="248"/>
      <c r="M64" s="262"/>
      <c r="N64" s="263"/>
      <c r="O64" s="228"/>
      <c r="P64" s="264"/>
      <c r="Q64" s="264"/>
      <c r="R64" s="253"/>
      <c r="S64" s="253"/>
      <c r="T64" s="254"/>
    </row>
    <row r="65" spans="1:20" x14ac:dyDescent="0.25">
      <c r="A65" s="221"/>
      <c r="B65" s="255"/>
      <c r="C65" s="248"/>
      <c r="D65" s="228"/>
      <c r="E65" s="228"/>
      <c r="F65" s="2"/>
      <c r="H65" s="2"/>
      <c r="I65" s="228"/>
      <c r="J65" s="228"/>
      <c r="K65" s="248"/>
      <c r="L65" s="248"/>
      <c r="M65" s="262"/>
      <c r="N65" s="263"/>
      <c r="O65" s="228"/>
      <c r="P65" s="264"/>
      <c r="Q65" s="264"/>
      <c r="R65" s="253"/>
      <c r="S65" s="253"/>
      <c r="T65" s="254"/>
    </row>
    <row r="66" spans="1:20" x14ac:dyDescent="0.25">
      <c r="A66" s="221"/>
      <c r="B66" s="255"/>
      <c r="C66" s="248"/>
      <c r="D66" s="228"/>
      <c r="E66" s="228"/>
      <c r="F66" s="2"/>
      <c r="H66" s="2"/>
      <c r="I66" s="228"/>
      <c r="J66" s="228"/>
      <c r="K66" s="248"/>
      <c r="L66" s="248"/>
      <c r="M66" s="262"/>
      <c r="N66" s="263"/>
      <c r="O66" s="228"/>
      <c r="P66" s="264"/>
      <c r="Q66" s="264"/>
      <c r="R66" s="253"/>
      <c r="S66" s="253"/>
      <c r="T66" s="254"/>
    </row>
    <row r="67" spans="1:20" x14ac:dyDescent="0.25">
      <c r="A67" s="221"/>
      <c r="B67" s="255"/>
      <c r="C67" s="248"/>
      <c r="D67" s="228"/>
      <c r="E67" s="228"/>
      <c r="F67" s="2"/>
      <c r="H67" s="2"/>
      <c r="I67" s="228"/>
      <c r="J67" s="228"/>
      <c r="K67" s="248"/>
      <c r="L67" s="248"/>
      <c r="M67" s="262"/>
      <c r="N67" s="263"/>
      <c r="O67" s="228"/>
      <c r="P67" s="264"/>
      <c r="Q67" s="264"/>
      <c r="R67" s="253"/>
      <c r="S67" s="253"/>
      <c r="T67" s="254"/>
    </row>
    <row r="68" spans="1:20" x14ac:dyDescent="0.25">
      <c r="A68" s="221"/>
      <c r="B68" s="255"/>
      <c r="C68" s="248"/>
      <c r="D68" s="228"/>
      <c r="E68" s="228"/>
      <c r="F68" s="2"/>
      <c r="H68" s="2"/>
      <c r="I68" s="228"/>
      <c r="J68" s="228"/>
      <c r="K68" s="248"/>
      <c r="L68" s="248"/>
      <c r="M68" s="262"/>
      <c r="N68" s="263"/>
      <c r="O68" s="228"/>
      <c r="P68" s="264"/>
      <c r="Q68" s="264"/>
      <c r="R68" s="253"/>
      <c r="S68" s="253"/>
      <c r="T68" s="254"/>
    </row>
    <row r="69" spans="1:20" x14ac:dyDescent="0.25">
      <c r="A69" s="221"/>
      <c r="B69" s="255"/>
      <c r="C69" s="248"/>
      <c r="D69" s="228"/>
      <c r="E69" s="228"/>
      <c r="F69" s="2"/>
      <c r="H69" s="2"/>
      <c r="I69" s="228"/>
      <c r="J69" s="228"/>
      <c r="K69" s="248"/>
      <c r="L69" s="248"/>
      <c r="M69" s="262"/>
      <c r="N69" s="263"/>
      <c r="O69" s="228"/>
      <c r="P69" s="264"/>
      <c r="Q69" s="264"/>
      <c r="R69" s="253"/>
      <c r="S69" s="253"/>
      <c r="T69" s="254"/>
    </row>
    <row r="70" spans="1:20" x14ac:dyDescent="0.25">
      <c r="A70" s="221"/>
      <c r="B70" s="255"/>
      <c r="C70" s="248"/>
      <c r="D70" s="228"/>
      <c r="E70" s="228"/>
      <c r="F70" s="2"/>
      <c r="H70" s="2"/>
      <c r="I70" s="228"/>
      <c r="J70" s="228"/>
      <c r="K70" s="248"/>
      <c r="L70" s="248"/>
      <c r="M70" s="262"/>
      <c r="N70" s="263"/>
      <c r="O70" s="228"/>
      <c r="P70" s="264"/>
      <c r="Q70" s="264"/>
      <c r="R70" s="253"/>
      <c r="S70" s="253"/>
      <c r="T70" s="254"/>
    </row>
    <row r="71" spans="1:20" x14ac:dyDescent="0.25">
      <c r="A71" s="221"/>
      <c r="B71" s="255"/>
      <c r="C71" s="248"/>
      <c r="D71" s="228"/>
      <c r="E71" s="228"/>
      <c r="F71" s="2"/>
      <c r="H71" s="2"/>
      <c r="I71" s="228"/>
      <c r="J71" s="228"/>
      <c r="K71" s="248"/>
      <c r="L71" s="248"/>
      <c r="M71" s="262"/>
      <c r="N71" s="263"/>
      <c r="O71" s="228"/>
      <c r="P71" s="264"/>
      <c r="Q71" s="264"/>
      <c r="R71" s="253"/>
      <c r="S71" s="253"/>
      <c r="T71" s="254"/>
    </row>
    <row r="72" spans="1:20" x14ac:dyDescent="0.25">
      <c r="A72" s="221"/>
      <c r="B72" s="255"/>
      <c r="C72" s="248"/>
      <c r="D72" s="228"/>
      <c r="E72" s="228"/>
      <c r="F72" s="2"/>
      <c r="H72" s="2"/>
      <c r="I72" s="228"/>
      <c r="J72" s="228"/>
      <c r="K72" s="248"/>
      <c r="L72" s="248"/>
      <c r="M72" s="262"/>
      <c r="N72" s="263"/>
      <c r="O72" s="228"/>
      <c r="P72" s="264"/>
      <c r="Q72" s="264"/>
      <c r="R72" s="253"/>
      <c r="S72" s="253"/>
      <c r="T72" s="254"/>
    </row>
    <row r="73" spans="1:20" x14ac:dyDescent="0.25">
      <c r="A73" s="221"/>
      <c r="B73" s="255"/>
      <c r="C73" s="248"/>
      <c r="D73" s="228"/>
      <c r="E73" s="228"/>
      <c r="F73" s="2"/>
      <c r="H73" s="2"/>
      <c r="I73" s="228"/>
      <c r="J73" s="228"/>
      <c r="K73" s="248"/>
      <c r="L73" s="248"/>
      <c r="M73" s="262"/>
      <c r="N73" s="263"/>
      <c r="O73" s="228"/>
      <c r="P73" s="264"/>
      <c r="Q73" s="264"/>
      <c r="R73" s="253"/>
      <c r="S73" s="253"/>
      <c r="T73" s="254"/>
    </row>
    <row r="74" spans="1:20" x14ac:dyDescent="0.25">
      <c r="A74" s="221"/>
      <c r="B74" s="255"/>
      <c r="C74" s="248"/>
      <c r="D74" s="228"/>
      <c r="E74" s="228"/>
      <c r="F74" s="2"/>
      <c r="H74" s="2"/>
      <c r="I74" s="228"/>
      <c r="J74" s="228"/>
      <c r="K74" s="248"/>
      <c r="L74" s="248"/>
      <c r="M74" s="262"/>
      <c r="N74" s="263"/>
      <c r="O74" s="228"/>
      <c r="P74" s="264"/>
      <c r="Q74" s="264"/>
      <c r="R74" s="253"/>
      <c r="S74" s="253"/>
      <c r="T74" s="254"/>
    </row>
    <row r="75" spans="1:20" x14ac:dyDescent="0.25">
      <c r="A75" s="221"/>
      <c r="B75" s="255"/>
      <c r="C75" s="248"/>
      <c r="D75" s="228"/>
      <c r="E75" s="228"/>
      <c r="F75" s="2"/>
      <c r="H75" s="2"/>
      <c r="I75" s="228"/>
      <c r="J75" s="228"/>
      <c r="K75" s="248"/>
      <c r="L75" s="248"/>
      <c r="M75" s="262"/>
      <c r="N75" s="263"/>
      <c r="O75" s="228"/>
      <c r="P75" s="264"/>
      <c r="Q75" s="264"/>
      <c r="R75" s="253"/>
      <c r="S75" s="253"/>
      <c r="T75" s="254"/>
    </row>
    <row r="76" spans="1:20" x14ac:dyDescent="0.25">
      <c r="A76" s="221"/>
      <c r="B76" s="255"/>
      <c r="C76" s="248"/>
      <c r="D76" s="228"/>
      <c r="E76" s="228"/>
      <c r="F76" s="2"/>
      <c r="H76" s="2"/>
      <c r="I76" s="228"/>
      <c r="J76" s="228"/>
      <c r="K76" s="248"/>
      <c r="L76" s="248"/>
      <c r="M76" s="262"/>
      <c r="N76" s="263"/>
      <c r="O76" s="228"/>
      <c r="P76" s="264"/>
      <c r="Q76" s="264"/>
      <c r="R76" s="253"/>
      <c r="S76" s="253"/>
      <c r="T76" s="254"/>
    </row>
    <row r="77" spans="1:20" x14ac:dyDescent="0.25">
      <c r="A77" s="221"/>
      <c r="B77" s="255"/>
      <c r="C77" s="248"/>
      <c r="D77" s="228"/>
      <c r="E77" s="228"/>
      <c r="F77" s="2"/>
      <c r="H77" s="2"/>
      <c r="I77" s="228"/>
      <c r="J77" s="228"/>
      <c r="K77" s="248"/>
      <c r="L77" s="248"/>
      <c r="M77" s="262"/>
      <c r="N77" s="263"/>
      <c r="O77" s="228"/>
      <c r="P77" s="264"/>
      <c r="Q77" s="264"/>
      <c r="R77" s="253"/>
      <c r="S77" s="253"/>
      <c r="T77" s="254"/>
    </row>
    <row r="78" spans="1:20" x14ac:dyDescent="0.25">
      <c r="A78" s="221"/>
      <c r="B78" s="255"/>
      <c r="C78" s="248"/>
      <c r="D78" s="228"/>
      <c r="E78" s="228"/>
      <c r="F78" s="2"/>
      <c r="H78" s="2"/>
      <c r="I78" s="228"/>
      <c r="J78" s="228"/>
      <c r="K78" s="248"/>
      <c r="L78" s="248"/>
      <c r="M78" s="262"/>
      <c r="N78" s="263"/>
      <c r="O78" s="228"/>
      <c r="P78" s="264"/>
      <c r="Q78" s="264"/>
      <c r="R78" s="253"/>
      <c r="S78" s="253"/>
      <c r="T78" s="254"/>
    </row>
    <row r="79" spans="1:20" x14ac:dyDescent="0.25">
      <c r="A79" s="221"/>
      <c r="B79" s="255"/>
      <c r="C79" s="248"/>
      <c r="D79" s="228"/>
      <c r="E79" s="228"/>
      <c r="F79" s="2"/>
      <c r="H79" s="2"/>
      <c r="I79" s="228"/>
      <c r="J79" s="228"/>
      <c r="K79" s="248"/>
      <c r="L79" s="248"/>
      <c r="M79" s="262"/>
      <c r="N79" s="263"/>
      <c r="O79" s="228"/>
      <c r="P79" s="264"/>
      <c r="Q79" s="264"/>
      <c r="R79" s="253"/>
      <c r="S79" s="253"/>
      <c r="T79" s="254"/>
    </row>
    <row r="80" spans="1:20" x14ac:dyDescent="0.25">
      <c r="A80" s="221"/>
      <c r="B80" s="255"/>
      <c r="C80" s="248"/>
      <c r="D80" s="228"/>
      <c r="E80" s="228"/>
      <c r="F80" s="2"/>
      <c r="H80" s="2"/>
      <c r="I80" s="228"/>
      <c r="J80" s="228"/>
      <c r="K80" s="248"/>
      <c r="L80" s="248"/>
      <c r="M80" s="262"/>
      <c r="N80" s="263"/>
      <c r="O80" s="228"/>
      <c r="P80" s="264"/>
      <c r="Q80" s="264"/>
      <c r="R80" s="253"/>
      <c r="S80" s="253"/>
      <c r="T80" s="254"/>
    </row>
    <row r="81" spans="1:20" x14ac:dyDescent="0.25">
      <c r="A81" s="221"/>
      <c r="B81" s="255"/>
      <c r="C81" s="248"/>
      <c r="D81" s="228"/>
      <c r="E81" s="228"/>
      <c r="F81" s="2"/>
      <c r="H81" s="2"/>
      <c r="I81" s="228"/>
      <c r="J81" s="228"/>
      <c r="K81" s="228"/>
      <c r="L81" s="228"/>
      <c r="M81" s="265"/>
      <c r="N81" s="263"/>
      <c r="O81" s="228"/>
      <c r="P81" s="264"/>
      <c r="Q81" s="264"/>
      <c r="R81" s="253"/>
      <c r="S81" s="253"/>
      <c r="T81" s="254"/>
    </row>
    <row r="82" spans="1:20" x14ac:dyDescent="0.25">
      <c r="A82" s="221"/>
      <c r="B82" s="233"/>
      <c r="C82" s="248"/>
      <c r="D82" s="228"/>
      <c r="E82" s="228"/>
      <c r="F82" s="226"/>
      <c r="G82" s="228"/>
      <c r="H82" s="226"/>
      <c r="I82" s="228"/>
      <c r="J82" s="228"/>
      <c r="K82" s="228"/>
      <c r="L82" s="228"/>
      <c r="M82" s="228"/>
      <c r="N82" s="228"/>
      <c r="O82" s="228"/>
      <c r="P82" s="228"/>
      <c r="Q82" s="228"/>
      <c r="R82" s="228"/>
      <c r="S82" s="228"/>
      <c r="T82" s="228"/>
    </row>
    <row r="83" spans="1:20" ht="12.75" x14ac:dyDescent="0.2">
      <c r="C83" s="266"/>
    </row>
    <row r="84" spans="1:20" x14ac:dyDescent="0.25">
      <c r="C84" s="266"/>
    </row>
  </sheetData>
  <mergeCells count="14">
    <mergeCell ref="U6:V6"/>
    <mergeCell ref="U11:V11"/>
    <mergeCell ref="U15:V15"/>
    <mergeCell ref="F29:G29"/>
    <mergeCell ref="F30:G30"/>
    <mergeCell ref="K30:N30"/>
    <mergeCell ref="B3:R3"/>
    <mergeCell ref="B4:I4"/>
    <mergeCell ref="K4:R4"/>
    <mergeCell ref="C5:D5"/>
    <mergeCell ref="F5:G5"/>
    <mergeCell ref="H5:I5"/>
    <mergeCell ref="L5:N5"/>
    <mergeCell ref="P5:R5"/>
  </mergeCells>
  <pageMargins left="0.25" right="0.25" top="0.25" bottom="0.25" header="0.5" footer="0"/>
  <pageSetup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3" tint="0.39997558519241921"/>
  </sheetPr>
  <dimension ref="A1:X29"/>
  <sheetViews>
    <sheetView workbookViewId="0">
      <selection sqref="A1:A2"/>
    </sheetView>
  </sheetViews>
  <sheetFormatPr defaultRowHeight="13.2" x14ac:dyDescent="0.25"/>
  <cols>
    <col min="19" max="19" width="12.5546875" customWidth="1"/>
  </cols>
  <sheetData>
    <row r="1" spans="1:24" x14ac:dyDescent="0.25">
      <c r="A1" s="318" t="s">
        <v>203</v>
      </c>
    </row>
    <row r="2" spans="1:24" x14ac:dyDescent="0.25">
      <c r="A2" s="318" t="s">
        <v>200</v>
      </c>
    </row>
    <row r="4" spans="1:24" x14ac:dyDescent="0.25">
      <c r="M4" s="66" t="s">
        <v>88</v>
      </c>
    </row>
    <row r="5" spans="1:24" x14ac:dyDescent="0.25">
      <c r="M5" s="66" t="s">
        <v>89</v>
      </c>
    </row>
    <row r="7" spans="1:24" x14ac:dyDescent="0.25">
      <c r="M7" s="105" t="s">
        <v>107</v>
      </c>
    </row>
    <row r="8" spans="1:24" x14ac:dyDescent="0.25">
      <c r="M8" s="66" t="s">
        <v>90</v>
      </c>
    </row>
    <row r="9" spans="1:24" x14ac:dyDescent="0.25">
      <c r="M9" s="105" t="s">
        <v>117</v>
      </c>
    </row>
    <row r="10" spans="1:24" x14ac:dyDescent="0.25">
      <c r="M10" s="66" t="s">
        <v>91</v>
      </c>
    </row>
    <row r="12" spans="1:24" x14ac:dyDescent="0.25">
      <c r="M12" s="105" t="s">
        <v>108</v>
      </c>
    </row>
    <row r="13" spans="1:24" ht="14.4" x14ac:dyDescent="0.3">
      <c r="R13" s="118" t="s">
        <v>127</v>
      </c>
      <c r="S13" s="116" t="s">
        <v>111</v>
      </c>
      <c r="T13" s="116">
        <f>422+36</f>
        <v>458</v>
      </c>
      <c r="X13" s="105"/>
    </row>
    <row r="14" spans="1:24" ht="14.4" x14ac:dyDescent="0.3">
      <c r="M14" s="105" t="s">
        <v>109</v>
      </c>
      <c r="R14" s="116"/>
      <c r="S14" s="116" t="s">
        <v>113</v>
      </c>
      <c r="T14" s="116">
        <v>17</v>
      </c>
      <c r="X14" s="105"/>
    </row>
    <row r="15" spans="1:24" ht="14.4" x14ac:dyDescent="0.3">
      <c r="R15" s="116"/>
      <c r="S15" s="116" t="s">
        <v>112</v>
      </c>
      <c r="T15" s="116">
        <v>145</v>
      </c>
      <c r="X15" s="105"/>
    </row>
    <row r="16" spans="1:24" ht="14.4" x14ac:dyDescent="0.3">
      <c r="M16" s="105" t="s">
        <v>118</v>
      </c>
      <c r="R16" s="119" t="s">
        <v>129</v>
      </c>
      <c r="S16" s="117" t="s">
        <v>110</v>
      </c>
      <c r="T16" s="117">
        <v>20</v>
      </c>
      <c r="X16" s="105"/>
    </row>
    <row r="17" spans="13:24" ht="14.4" x14ac:dyDescent="0.3">
      <c r="R17" s="117"/>
      <c r="S17" s="117" t="s">
        <v>115</v>
      </c>
      <c r="T17" s="117">
        <v>5</v>
      </c>
      <c r="X17" s="105"/>
    </row>
    <row r="18" spans="13:24" ht="14.4" x14ac:dyDescent="0.3">
      <c r="R18" s="117"/>
      <c r="S18" s="117" t="s">
        <v>120</v>
      </c>
      <c r="T18" s="117">
        <v>0</v>
      </c>
      <c r="X18" s="105"/>
    </row>
    <row r="21" spans="13:24" x14ac:dyDescent="0.25">
      <c r="S21" s="105" t="s">
        <v>114</v>
      </c>
      <c r="T21">
        <f>SUM(T13:T20)</f>
        <v>645</v>
      </c>
    </row>
    <row r="23" spans="13:24" x14ac:dyDescent="0.25">
      <c r="M23" s="105" t="s">
        <v>130</v>
      </c>
    </row>
    <row r="24" spans="13:24" x14ac:dyDescent="0.25">
      <c r="M24" s="105" t="s">
        <v>128</v>
      </c>
    </row>
    <row r="27" spans="13:24" x14ac:dyDescent="0.25">
      <c r="M27" s="123" t="s">
        <v>131</v>
      </c>
    </row>
    <row r="28" spans="13:24" x14ac:dyDescent="0.25">
      <c r="M28" s="122" t="s">
        <v>132</v>
      </c>
    </row>
    <row r="29" spans="13:24" x14ac:dyDescent="0.25">
      <c r="M29" s="122" t="s">
        <v>133</v>
      </c>
    </row>
  </sheetData>
  <phoneticPr fontId="7" type="noConversion"/>
  <hyperlinks>
    <hyperlink ref="M29" r:id="rId1"/>
    <hyperlink ref="M28" r:id="rId2"/>
  </hyperlinks>
  <pageMargins left="0.75" right="0.75" top="1" bottom="1" header="0.5" footer="0.5"/>
  <pageSetup orientation="portrait" r:id="rId3"/>
  <headerFooter alignWithMargins="0"/>
  <drawing r:id="rId4"/>
  <legacyDrawing r:id="rId5"/>
  <oleObjects>
    <mc:AlternateContent xmlns:mc="http://schemas.openxmlformats.org/markup-compatibility/2006">
      <mc:Choice Requires="x14">
        <oleObject progId="Word.Document.8" shapeId="5121" r:id="rId6">
          <objectPr defaultSize="0" autoPict="0" r:id="rId7">
            <anchor moveWithCells="1">
              <from>
                <xdr:col>0</xdr:col>
                <xdr:colOff>419100</xdr:colOff>
                <xdr:row>3</xdr:row>
                <xdr:rowOff>0</xdr:rowOff>
              </from>
              <to>
                <xdr:col>9</xdr:col>
                <xdr:colOff>426720</xdr:colOff>
                <xdr:row>44</xdr:row>
                <xdr:rowOff>22860</xdr:rowOff>
              </to>
            </anchor>
          </objectPr>
        </oleObject>
      </mc:Choice>
      <mc:Fallback>
        <oleObject progId="Word.Document.8" shapeId="5121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6" tint="0.39997558519241921"/>
  </sheetPr>
  <dimension ref="A1:T18"/>
  <sheetViews>
    <sheetView workbookViewId="0">
      <selection activeCell="A2" sqref="A1:A2"/>
    </sheetView>
  </sheetViews>
  <sheetFormatPr defaultRowHeight="13.2" x14ac:dyDescent="0.25"/>
  <cols>
    <col min="18" max="18" width="11.33203125" customWidth="1"/>
  </cols>
  <sheetData>
    <row r="1" spans="1:20" x14ac:dyDescent="0.25">
      <c r="A1" s="123" t="s">
        <v>204</v>
      </c>
    </row>
    <row r="2" spans="1:20" x14ac:dyDescent="0.25">
      <c r="A2" s="123" t="s">
        <v>200</v>
      </c>
    </row>
    <row r="5" spans="1:20" ht="18" thickBot="1" x14ac:dyDescent="0.4">
      <c r="O5" s="46" t="s">
        <v>1</v>
      </c>
      <c r="P5" t="s">
        <v>136</v>
      </c>
      <c r="Q5" t="s">
        <v>137</v>
      </c>
      <c r="R5" s="136" t="s">
        <v>138</v>
      </c>
      <c r="S5" t="s">
        <v>139</v>
      </c>
      <c r="T5" t="s">
        <v>140</v>
      </c>
    </row>
    <row r="6" spans="1:20" ht="15" thickTop="1" x14ac:dyDescent="0.3">
      <c r="O6" s="39">
        <v>2014</v>
      </c>
      <c r="P6" s="137">
        <v>606100</v>
      </c>
      <c r="Q6" s="137">
        <v>329000</v>
      </c>
      <c r="R6" s="110">
        <v>280000</v>
      </c>
      <c r="S6" s="137">
        <v>304000</v>
      </c>
      <c r="T6" s="137">
        <v>173922</v>
      </c>
    </row>
    <row r="7" spans="1:20" ht="14.4" x14ac:dyDescent="0.3">
      <c r="O7" s="39">
        <v>2015</v>
      </c>
      <c r="P7" s="137">
        <v>998100</v>
      </c>
      <c r="Q7" s="137">
        <v>469000</v>
      </c>
      <c r="R7" s="110">
        <v>400000</v>
      </c>
      <c r="S7" s="137">
        <v>389120</v>
      </c>
      <c r="T7" s="137">
        <v>268295</v>
      </c>
    </row>
    <row r="8" spans="1:20" ht="14.4" x14ac:dyDescent="0.3">
      <c r="O8" s="39">
        <v>2016</v>
      </c>
      <c r="P8" s="137">
        <v>1488100</v>
      </c>
      <c r="Q8" s="137">
        <v>651910</v>
      </c>
      <c r="R8" s="110">
        <v>568000</v>
      </c>
      <c r="S8" s="137">
        <v>498073.59999999998</v>
      </c>
      <c r="T8" s="137">
        <v>375451</v>
      </c>
    </row>
    <row r="9" spans="1:20" ht="14.4" x14ac:dyDescent="0.3">
      <c r="O9" s="39">
        <v>2017</v>
      </c>
      <c r="P9" s="137">
        <v>2076100</v>
      </c>
      <c r="Q9" s="137">
        <v>906155</v>
      </c>
      <c r="R9" s="110">
        <v>753664</v>
      </c>
      <c r="S9" s="137">
        <v>637534.20799999998</v>
      </c>
      <c r="T9" s="137">
        <v>474657</v>
      </c>
    </row>
    <row r="10" spans="1:20" ht="14.4" x14ac:dyDescent="0.3">
      <c r="O10" s="39">
        <v>2018</v>
      </c>
      <c r="P10" s="137">
        <v>2762100</v>
      </c>
      <c r="Q10" s="137">
        <v>1259555</v>
      </c>
      <c r="R10" s="110">
        <v>964690</v>
      </c>
      <c r="S10" s="137">
        <v>816043.78624000004</v>
      </c>
      <c r="T10" s="137">
        <v>569025</v>
      </c>
    </row>
    <row r="11" spans="1:20" ht="14.4" x14ac:dyDescent="0.3">
      <c r="O11" s="39">
        <v>2019</v>
      </c>
      <c r="P11" s="137">
        <v>3200000</v>
      </c>
      <c r="Q11" s="137">
        <v>1763377</v>
      </c>
      <c r="R11" s="110">
        <v>1234803</v>
      </c>
      <c r="S11" s="137">
        <v>1044536.0463872</v>
      </c>
      <c r="T11" s="137">
        <v>665555</v>
      </c>
    </row>
    <row r="12" spans="1:20" ht="14.4" x14ac:dyDescent="0.3">
      <c r="O12" s="39">
        <v>2020</v>
      </c>
      <c r="P12" s="137">
        <v>4100000</v>
      </c>
      <c r="Q12" s="137">
        <v>2645066</v>
      </c>
      <c r="R12" s="110">
        <v>1666984</v>
      </c>
      <c r="S12" s="137">
        <v>1337006.1393756161</v>
      </c>
      <c r="T12" s="137">
        <v>749596</v>
      </c>
    </row>
    <row r="13" spans="1:20" ht="14.4" x14ac:dyDescent="0.3">
      <c r="O13" s="138">
        <v>2021</v>
      </c>
      <c r="P13" s="139"/>
      <c r="Q13" s="137">
        <v>3967599</v>
      </c>
      <c r="R13" s="110">
        <v>2250428</v>
      </c>
      <c r="S13" s="137">
        <v>1711367.8584007886</v>
      </c>
      <c r="T13" s="137">
        <v>1057714</v>
      </c>
    </row>
    <row r="14" spans="1:20" ht="14.4" x14ac:dyDescent="0.3">
      <c r="O14" s="138">
        <v>2022</v>
      </c>
      <c r="P14" s="139"/>
      <c r="Q14" s="137">
        <v>5951398</v>
      </c>
      <c r="R14" s="110">
        <v>3038079</v>
      </c>
      <c r="S14" s="137">
        <v>2190550.8587530097</v>
      </c>
      <c r="T14" s="137">
        <v>1142617</v>
      </c>
    </row>
    <row r="15" spans="1:20" ht="14.4" x14ac:dyDescent="0.3">
      <c r="O15" s="138">
        <v>2023</v>
      </c>
      <c r="P15" s="139"/>
      <c r="Q15" s="137">
        <v>8927098</v>
      </c>
      <c r="R15" s="110">
        <v>4101406</v>
      </c>
      <c r="S15" s="137">
        <v>2803905.0992038525</v>
      </c>
      <c r="T15" s="137">
        <v>1252132</v>
      </c>
    </row>
    <row r="18" spans="15:15" x14ac:dyDescent="0.25">
      <c r="O18" t="s">
        <v>141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5363" r:id="rId4">
          <objectPr defaultSize="0" autoPict="0" r:id="rId5">
            <anchor moveWithCells="1">
              <from>
                <xdr:col>0</xdr:col>
                <xdr:colOff>426720</xdr:colOff>
                <xdr:row>3</xdr:row>
                <xdr:rowOff>60960</xdr:rowOff>
              </from>
              <to>
                <xdr:col>11</xdr:col>
                <xdr:colOff>228600</xdr:colOff>
                <xdr:row>23</xdr:row>
                <xdr:rowOff>68580</xdr:rowOff>
              </to>
            </anchor>
          </objectPr>
        </oleObject>
      </mc:Choice>
      <mc:Fallback>
        <oleObject progId="Word.Document.8" shapeId="1536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8"/>
  <sheetViews>
    <sheetView topLeftCell="A4" workbookViewId="0">
      <selection activeCell="A2" sqref="A1:A2"/>
    </sheetView>
  </sheetViews>
  <sheetFormatPr defaultRowHeight="13.2" x14ac:dyDescent="0.25"/>
  <cols>
    <col min="1" max="1" width="32.5546875" customWidth="1"/>
    <col min="3" max="3" width="12.5546875" customWidth="1"/>
    <col min="4" max="5" width="10.5546875" bestFit="1" customWidth="1"/>
    <col min="6" max="6" width="11" customWidth="1"/>
    <col min="7" max="7" width="13.109375" customWidth="1"/>
    <col min="8" max="8" width="10.88671875" customWidth="1"/>
    <col min="9" max="9" width="13.44140625" customWidth="1"/>
    <col min="10" max="10" width="15" bestFit="1" customWidth="1"/>
    <col min="11" max="11" width="11.5546875" customWidth="1"/>
    <col min="12" max="12" width="11.44140625" customWidth="1"/>
    <col min="13" max="13" width="11.33203125" customWidth="1"/>
    <col min="14" max="14" width="11.6640625" customWidth="1"/>
    <col min="15" max="15" width="12.88671875" customWidth="1"/>
    <col min="16" max="16" width="12.5546875" customWidth="1"/>
    <col min="17" max="17" width="12" customWidth="1"/>
    <col min="18" max="18" width="11.33203125" customWidth="1"/>
  </cols>
  <sheetData>
    <row r="1" spans="1:18" x14ac:dyDescent="0.25">
      <c r="A1" s="123" t="s">
        <v>205</v>
      </c>
    </row>
    <row r="2" spans="1:18" x14ac:dyDescent="0.25">
      <c r="A2" s="123" t="s">
        <v>200</v>
      </c>
    </row>
    <row r="4" spans="1:18" x14ac:dyDescent="0.25">
      <c r="B4" s="140">
        <v>2014</v>
      </c>
      <c r="C4" s="140">
        <v>2015</v>
      </c>
      <c r="D4" s="140">
        <v>2016</v>
      </c>
      <c r="E4" s="140">
        <v>2017</v>
      </c>
      <c r="F4" s="140">
        <v>2018</v>
      </c>
      <c r="G4" s="140">
        <v>2019</v>
      </c>
      <c r="H4" s="140">
        <v>2020</v>
      </c>
      <c r="I4" s="140">
        <v>2021</v>
      </c>
      <c r="J4" s="140">
        <v>2022</v>
      </c>
      <c r="K4" s="140">
        <v>2023</v>
      </c>
      <c r="L4" s="140">
        <v>2024</v>
      </c>
      <c r="M4" s="140">
        <v>2025</v>
      </c>
      <c r="N4" s="140">
        <v>2026</v>
      </c>
      <c r="O4" s="140">
        <v>2027</v>
      </c>
      <c r="P4" s="140">
        <v>2028</v>
      </c>
      <c r="Q4" s="140">
        <v>2029</v>
      </c>
      <c r="R4" s="140">
        <v>2030</v>
      </c>
    </row>
    <row r="5" spans="1:18" ht="14.4" x14ac:dyDescent="0.3">
      <c r="A5" s="123" t="s">
        <v>144</v>
      </c>
      <c r="B5" s="88">
        <v>331900</v>
      </c>
      <c r="C5" s="88">
        <v>552761</v>
      </c>
      <c r="D5" s="88">
        <v>852272</v>
      </c>
      <c r="E5" s="88">
        <v>1331489</v>
      </c>
      <c r="F5" s="88">
        <v>1813702</v>
      </c>
      <c r="G5" s="88">
        <v>2427489</v>
      </c>
      <c r="H5" s="88">
        <v>3664364</v>
      </c>
      <c r="I5" s="88">
        <v>5519677</v>
      </c>
      <c r="J5" s="88">
        <v>8302646</v>
      </c>
      <c r="K5" s="88">
        <v>12477099</v>
      </c>
      <c r="L5" s="88">
        <v>16234106</v>
      </c>
      <c r="M5" s="88">
        <v>19490180</v>
      </c>
      <c r="N5" s="88">
        <v>23397468</v>
      </c>
      <c r="O5" s="88">
        <v>25741841</v>
      </c>
      <c r="P5" s="88">
        <v>28320651</v>
      </c>
      <c r="Q5" s="88">
        <v>29738996</v>
      </c>
      <c r="R5" s="88">
        <v>30334702</v>
      </c>
    </row>
    <row r="6" spans="1:18" ht="14.4" x14ac:dyDescent="0.3">
      <c r="A6" s="123" t="s">
        <v>145</v>
      </c>
      <c r="B6" s="110">
        <v>280000</v>
      </c>
      <c r="C6" s="110">
        <v>400000</v>
      </c>
      <c r="D6" s="110">
        <v>568000</v>
      </c>
      <c r="E6" s="110">
        <v>753664</v>
      </c>
      <c r="F6" s="110">
        <v>964690</v>
      </c>
      <c r="G6" s="110">
        <v>1234803</v>
      </c>
      <c r="H6" s="110">
        <v>1666984</v>
      </c>
      <c r="I6" s="110">
        <v>2250428</v>
      </c>
      <c r="J6" s="110">
        <v>3038079</v>
      </c>
      <c r="K6" s="110">
        <v>4101406</v>
      </c>
      <c r="L6" s="110">
        <v>5741969</v>
      </c>
      <c r="M6" s="110">
        <v>7751658</v>
      </c>
      <c r="N6" s="110">
        <v>10464738</v>
      </c>
      <c r="O6" s="110">
        <v>12557686</v>
      </c>
      <c r="P6" s="110">
        <v>15069223</v>
      </c>
      <c r="Q6" s="110">
        <v>18083067</v>
      </c>
      <c r="R6" s="110">
        <v>21699681</v>
      </c>
    </row>
    <row r="7" spans="1:18" x14ac:dyDescent="0.25">
      <c r="A7" s="105" t="s">
        <v>142</v>
      </c>
      <c r="B7" s="141">
        <f>SUM(B5-B6)</f>
        <v>51900</v>
      </c>
      <c r="C7" s="141">
        <f t="shared" ref="C7:R7" si="0">SUM(C5-C6)</f>
        <v>152761</v>
      </c>
      <c r="D7" s="141">
        <f t="shared" si="0"/>
        <v>284272</v>
      </c>
      <c r="E7" s="141">
        <f t="shared" si="0"/>
        <v>577825</v>
      </c>
      <c r="F7" s="141">
        <f t="shared" si="0"/>
        <v>849012</v>
      </c>
      <c r="G7" s="141">
        <f t="shared" si="0"/>
        <v>1192686</v>
      </c>
      <c r="H7" s="141">
        <f t="shared" si="0"/>
        <v>1997380</v>
      </c>
      <c r="I7" s="141">
        <f t="shared" si="0"/>
        <v>3269249</v>
      </c>
      <c r="J7" s="141">
        <f t="shared" si="0"/>
        <v>5264567</v>
      </c>
      <c r="K7" s="141">
        <f t="shared" si="0"/>
        <v>8375693</v>
      </c>
      <c r="L7" s="141">
        <f t="shared" si="0"/>
        <v>10492137</v>
      </c>
      <c r="M7" s="141">
        <f t="shared" si="0"/>
        <v>11738522</v>
      </c>
      <c r="N7" s="141">
        <f t="shared" si="0"/>
        <v>12932730</v>
      </c>
      <c r="O7" s="141">
        <f t="shared" si="0"/>
        <v>13184155</v>
      </c>
      <c r="P7" s="141">
        <f t="shared" si="0"/>
        <v>13251428</v>
      </c>
      <c r="Q7" s="141">
        <f t="shared" si="0"/>
        <v>11655929</v>
      </c>
      <c r="R7" s="141">
        <f t="shared" si="0"/>
        <v>8635021</v>
      </c>
    </row>
    <row r="8" spans="1:18" x14ac:dyDescent="0.25">
      <c r="A8" s="142" t="s">
        <v>143</v>
      </c>
      <c r="B8" s="143">
        <f>SUM(B7/B5)</f>
        <v>0.15637240132570052</v>
      </c>
      <c r="C8" s="143">
        <f t="shared" ref="C8:R8" si="1">SUM(C7/C5)</f>
        <v>0.27635994579935996</v>
      </c>
      <c r="D8" s="143">
        <f t="shared" si="1"/>
        <v>0.33354609795933693</v>
      </c>
      <c r="E8" s="143">
        <f t="shared" si="1"/>
        <v>0.43396903767135891</v>
      </c>
      <c r="F8" s="143">
        <f t="shared" si="1"/>
        <v>0.46810997617028599</v>
      </c>
      <c r="G8" s="143">
        <f t="shared" si="1"/>
        <v>0.49132498643660177</v>
      </c>
      <c r="H8" s="143">
        <f t="shared" si="1"/>
        <v>0.54508231169174237</v>
      </c>
      <c r="I8" s="143">
        <f t="shared" si="1"/>
        <v>0.59228991116690344</v>
      </c>
      <c r="J8" s="143">
        <f t="shared" si="1"/>
        <v>0.63408303810616518</v>
      </c>
      <c r="K8" s="143">
        <f t="shared" si="1"/>
        <v>0.67128528835108225</v>
      </c>
      <c r="L8" s="143">
        <f t="shared" si="1"/>
        <v>0.64630211235530921</v>
      </c>
      <c r="M8" s="143">
        <f t="shared" si="1"/>
        <v>0.60227878860020789</v>
      </c>
      <c r="N8" s="143">
        <f t="shared" si="1"/>
        <v>0.55274057859594039</v>
      </c>
      <c r="O8" s="143">
        <f t="shared" si="1"/>
        <v>0.51216830218165044</v>
      </c>
      <c r="P8" s="143">
        <f t="shared" si="1"/>
        <v>0.4679068994565132</v>
      </c>
      <c r="Q8" s="143">
        <f t="shared" si="1"/>
        <v>0.39194090479718952</v>
      </c>
      <c r="R8" s="143">
        <f t="shared" si="1"/>
        <v>0.28465817795078391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G80"/>
  <sheetViews>
    <sheetView workbookViewId="0">
      <selection activeCell="A2" sqref="A1:A2"/>
    </sheetView>
  </sheetViews>
  <sheetFormatPr defaultRowHeight="13.2" x14ac:dyDescent="0.25"/>
  <cols>
    <col min="1" max="1" width="31.33203125" customWidth="1"/>
    <col min="2" max="32" width="11" customWidth="1"/>
    <col min="33" max="33" width="23.109375" customWidth="1"/>
  </cols>
  <sheetData>
    <row r="1" spans="1:33" x14ac:dyDescent="0.25">
      <c r="A1" s="123" t="s">
        <v>206</v>
      </c>
    </row>
    <row r="2" spans="1:33" x14ac:dyDescent="0.25">
      <c r="A2" s="123" t="s">
        <v>200</v>
      </c>
    </row>
    <row r="4" spans="1:33" ht="18" customHeight="1" x14ac:dyDescent="0.25">
      <c r="A4" s="312" t="s">
        <v>30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2"/>
    </row>
    <row r="5" spans="1:33" ht="18" customHeight="1" x14ac:dyDescent="0.25">
      <c r="A5" s="312" t="s">
        <v>31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</row>
    <row r="6" spans="1:33" x14ac:dyDescent="0.25">
      <c r="A6" s="313"/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3"/>
      <c r="AC6" s="313"/>
      <c r="AD6" s="313"/>
      <c r="AE6" s="313"/>
      <c r="AF6" s="313"/>
      <c r="AG6" s="313"/>
    </row>
    <row r="7" spans="1:33" s="75" customFormat="1" ht="14.4" x14ac:dyDescent="0.3">
      <c r="A7" s="73" t="s">
        <v>32</v>
      </c>
      <c r="B7" s="74">
        <v>2010</v>
      </c>
      <c r="C7" s="74">
        <v>2011</v>
      </c>
      <c r="D7" s="74">
        <v>2012</v>
      </c>
      <c r="E7" s="74">
        <v>2013</v>
      </c>
      <c r="F7" s="74">
        <v>2014</v>
      </c>
      <c r="G7" s="74">
        <v>2015</v>
      </c>
      <c r="H7" s="74">
        <v>2016</v>
      </c>
      <c r="I7" s="74">
        <v>2017</v>
      </c>
      <c r="J7" s="74">
        <v>2018</v>
      </c>
      <c r="K7" s="74">
        <v>2019</v>
      </c>
      <c r="L7" s="74">
        <v>2020</v>
      </c>
      <c r="M7" s="74">
        <v>2021</v>
      </c>
      <c r="N7" s="74">
        <v>2022</v>
      </c>
      <c r="O7" s="74">
        <v>2023</v>
      </c>
      <c r="P7" s="74">
        <v>2024</v>
      </c>
      <c r="Q7" s="74">
        <v>2025</v>
      </c>
      <c r="R7" s="74">
        <v>2026</v>
      </c>
      <c r="S7" s="74">
        <v>2027</v>
      </c>
      <c r="T7" s="74">
        <v>2028</v>
      </c>
      <c r="U7" s="74">
        <v>2029</v>
      </c>
      <c r="V7" s="74">
        <v>2030</v>
      </c>
      <c r="W7" s="74">
        <v>2031</v>
      </c>
      <c r="X7" s="74">
        <v>2032</v>
      </c>
      <c r="Y7" s="74">
        <v>2033</v>
      </c>
      <c r="Z7" s="74">
        <v>2034</v>
      </c>
      <c r="AA7" s="74">
        <v>2035</v>
      </c>
      <c r="AB7" s="74">
        <v>2036</v>
      </c>
      <c r="AC7" s="74">
        <v>2037</v>
      </c>
      <c r="AD7" s="74">
        <v>2038</v>
      </c>
      <c r="AE7" s="74">
        <v>2039</v>
      </c>
      <c r="AF7" s="74">
        <v>2040</v>
      </c>
      <c r="AG7" s="74" t="s">
        <v>33</v>
      </c>
    </row>
    <row r="8" spans="1:33" x14ac:dyDescent="0.25">
      <c r="A8" s="76"/>
    </row>
    <row r="9" spans="1:33" ht="14.4" x14ac:dyDescent="0.3">
      <c r="A9" s="77" t="s">
        <v>34</v>
      </c>
    </row>
    <row r="10" spans="1:33" ht="14.4" x14ac:dyDescent="0.3">
      <c r="A10" s="77" t="s">
        <v>35</v>
      </c>
    </row>
    <row r="11" spans="1:33" x14ac:dyDescent="0.25">
      <c r="A11" s="76" t="s">
        <v>36</v>
      </c>
      <c r="B11" s="78">
        <v>125.644875</v>
      </c>
      <c r="C11" s="78">
        <v>123.36041299999999</v>
      </c>
      <c r="D11" s="78">
        <v>121.99884</v>
      </c>
      <c r="E11" s="78">
        <v>120.77357499999999</v>
      </c>
      <c r="F11" s="78">
        <v>119.87222300000001</v>
      </c>
      <c r="G11" s="78">
        <v>119.312057</v>
      </c>
      <c r="H11" s="78">
        <v>119.11245700000001</v>
      </c>
      <c r="I11" s="78">
        <v>119.154144</v>
      </c>
      <c r="J11" s="78">
        <v>119.216919</v>
      </c>
      <c r="K11" s="78">
        <v>119.588615</v>
      </c>
      <c r="L11" s="78">
        <v>120.112877</v>
      </c>
      <c r="M11" s="78">
        <v>120.62114699999999</v>
      </c>
      <c r="N11" s="78">
        <v>121.133354</v>
      </c>
      <c r="O11" s="78">
        <v>121.894791</v>
      </c>
      <c r="P11" s="78">
        <v>122.705811</v>
      </c>
      <c r="Q11" s="78">
        <v>123.39698799999999</v>
      </c>
      <c r="R11" s="78">
        <v>124.28930699999999</v>
      </c>
      <c r="S11" s="78">
        <v>125.334053</v>
      </c>
      <c r="T11" s="78">
        <v>126.481133</v>
      </c>
      <c r="U11" s="78">
        <v>127.69416</v>
      </c>
      <c r="V11" s="78">
        <v>128.964935</v>
      </c>
      <c r="W11" s="78">
        <v>130.27574200000001</v>
      </c>
      <c r="X11" s="78">
        <v>131.597534</v>
      </c>
      <c r="Y11" s="78">
        <v>132.916473</v>
      </c>
      <c r="Z11" s="78">
        <v>134.26449600000001</v>
      </c>
      <c r="AA11" s="78">
        <v>135.64596599999999</v>
      </c>
      <c r="AB11" s="78">
        <v>137.04278600000001</v>
      </c>
      <c r="AC11" s="78">
        <v>138.49127200000001</v>
      </c>
      <c r="AD11" s="78">
        <v>139.99273700000001</v>
      </c>
      <c r="AE11" s="78">
        <v>141.532928</v>
      </c>
      <c r="AF11" s="78">
        <v>143.09736599999999</v>
      </c>
      <c r="AG11" s="79">
        <v>5.0000000000000001E-3</v>
      </c>
    </row>
    <row r="12" spans="1:33" x14ac:dyDescent="0.25">
      <c r="A12" s="76" t="s">
        <v>37</v>
      </c>
      <c r="B12" s="78">
        <v>0.70239300000000005</v>
      </c>
      <c r="C12" s="78">
        <v>1.1769499999999999</v>
      </c>
      <c r="D12" s="78">
        <v>1.7263059999999999</v>
      </c>
      <c r="E12" s="78">
        <v>2.2691319999999999</v>
      </c>
      <c r="F12" s="78">
        <v>2.792942</v>
      </c>
      <c r="G12" s="78">
        <v>3.2943259999999999</v>
      </c>
      <c r="H12" s="78">
        <v>3.7896399999999999</v>
      </c>
      <c r="I12" s="78">
        <v>4.2723009999999997</v>
      </c>
      <c r="J12" s="78">
        <v>4.7300579999999997</v>
      </c>
      <c r="K12" s="78">
        <v>5.2018880000000003</v>
      </c>
      <c r="L12" s="78">
        <v>5.6850870000000002</v>
      </c>
      <c r="M12" s="78">
        <v>6.1563220000000003</v>
      </c>
      <c r="N12" s="78">
        <v>6.6230770000000003</v>
      </c>
      <c r="O12" s="78">
        <v>6.8406760000000002</v>
      </c>
      <c r="P12" s="78">
        <v>7.0543659999999999</v>
      </c>
      <c r="Q12" s="78">
        <v>7.321091</v>
      </c>
      <c r="R12" s="78">
        <v>7.502866</v>
      </c>
      <c r="S12" s="78">
        <v>7.6637519999999997</v>
      </c>
      <c r="T12" s="78">
        <v>7.801031</v>
      </c>
      <c r="U12" s="78">
        <v>7.9234</v>
      </c>
      <c r="V12" s="78">
        <v>8.0332889999999999</v>
      </c>
      <c r="W12" s="78">
        <v>8.1277069999999991</v>
      </c>
      <c r="X12" s="78">
        <v>8.2093019999999992</v>
      </c>
      <c r="Y12" s="78">
        <v>8.2799219999999991</v>
      </c>
      <c r="Z12" s="78">
        <v>8.3414020000000004</v>
      </c>
      <c r="AA12" s="78">
        <v>8.3977599999999999</v>
      </c>
      <c r="AB12" s="78">
        <v>8.4491429999999994</v>
      </c>
      <c r="AC12" s="78">
        <v>8.5019069999999992</v>
      </c>
      <c r="AD12" s="78">
        <v>8.5625929999999997</v>
      </c>
      <c r="AE12" s="78">
        <v>8.6299480000000006</v>
      </c>
      <c r="AF12" s="78">
        <v>8.7060759999999995</v>
      </c>
      <c r="AG12" s="79">
        <v>7.0999999999999994E-2</v>
      </c>
    </row>
    <row r="13" spans="1:33" x14ac:dyDescent="0.25">
      <c r="A13" s="76" t="s">
        <v>38</v>
      </c>
      <c r="B13" s="78">
        <v>126.347267</v>
      </c>
      <c r="C13" s="78">
        <v>124.537361</v>
      </c>
      <c r="D13" s="78">
        <v>123.725143</v>
      </c>
      <c r="E13" s="78">
        <v>123.042709</v>
      </c>
      <c r="F13" s="78">
        <v>122.66516900000001</v>
      </c>
      <c r="G13" s="78">
        <v>122.60638400000001</v>
      </c>
      <c r="H13" s="78">
        <v>122.9021</v>
      </c>
      <c r="I13" s="78">
        <v>123.426445</v>
      </c>
      <c r="J13" s="78">
        <v>123.94697600000001</v>
      </c>
      <c r="K13" s="78">
        <v>124.790504</v>
      </c>
      <c r="L13" s="78">
        <v>125.797966</v>
      </c>
      <c r="M13" s="78">
        <v>126.777466</v>
      </c>
      <c r="N13" s="78">
        <v>127.756432</v>
      </c>
      <c r="O13" s="78">
        <v>128.73547400000001</v>
      </c>
      <c r="P13" s="78">
        <v>129.760178</v>
      </c>
      <c r="Q13" s="78">
        <v>130.71807899999999</v>
      </c>
      <c r="R13" s="78">
        <v>131.79217499999999</v>
      </c>
      <c r="S13" s="78">
        <v>132.997803</v>
      </c>
      <c r="T13" s="78">
        <v>134.28216599999999</v>
      </c>
      <c r="U13" s="78">
        <v>135.61755400000001</v>
      </c>
      <c r="V13" s="78">
        <v>136.99823000000001</v>
      </c>
      <c r="W13" s="78">
        <v>138.40344200000001</v>
      </c>
      <c r="X13" s="78">
        <v>139.806839</v>
      </c>
      <c r="Y13" s="78">
        <v>141.19639599999999</v>
      </c>
      <c r="Z13" s="78">
        <v>142.605896</v>
      </c>
      <c r="AA13" s="78">
        <v>144.04373200000001</v>
      </c>
      <c r="AB13" s="78">
        <v>145.491928</v>
      </c>
      <c r="AC13" s="78">
        <v>146.993179</v>
      </c>
      <c r="AD13" s="78">
        <v>148.555328</v>
      </c>
      <c r="AE13" s="78">
        <v>150.16287199999999</v>
      </c>
      <c r="AF13" s="78">
        <v>151.803436</v>
      </c>
      <c r="AG13" s="79">
        <v>7.0000000000000001E-3</v>
      </c>
    </row>
    <row r="14" spans="1:33" x14ac:dyDescent="0.25">
      <c r="A14" s="76"/>
    </row>
    <row r="15" spans="1:33" ht="14.4" x14ac:dyDescent="0.3">
      <c r="A15" s="77" t="s">
        <v>39</v>
      </c>
    </row>
    <row r="16" spans="1:33" x14ac:dyDescent="0.25">
      <c r="A16" s="76" t="s">
        <v>40</v>
      </c>
      <c r="B16" s="78">
        <v>1.8690169999999999</v>
      </c>
      <c r="C16" s="78">
        <v>2.2145990000000002</v>
      </c>
      <c r="D16" s="78">
        <v>2.2322959999999998</v>
      </c>
      <c r="E16" s="78">
        <v>2.3142269999999998</v>
      </c>
      <c r="F16" s="78">
        <v>2.388309</v>
      </c>
      <c r="G16" s="78">
        <v>2.4537070000000001</v>
      </c>
      <c r="H16" s="78">
        <v>2.5144169999999999</v>
      </c>
      <c r="I16" s="78">
        <v>2.5635780000000001</v>
      </c>
      <c r="J16" s="78">
        <v>2.6025520000000002</v>
      </c>
      <c r="K16" s="78">
        <v>2.636568</v>
      </c>
      <c r="L16" s="78">
        <v>2.6644649999999999</v>
      </c>
      <c r="M16" s="78">
        <v>2.6843469999999998</v>
      </c>
      <c r="N16" s="78">
        <v>2.6968320000000001</v>
      </c>
      <c r="O16" s="78">
        <v>2.7077010000000001</v>
      </c>
      <c r="P16" s="78">
        <v>2.7167759999999999</v>
      </c>
      <c r="Q16" s="78">
        <v>2.723036</v>
      </c>
      <c r="R16" s="78">
        <v>2.7268240000000001</v>
      </c>
      <c r="S16" s="78">
        <v>2.7337199999999999</v>
      </c>
      <c r="T16" s="78">
        <v>2.7419380000000002</v>
      </c>
      <c r="U16" s="78">
        <v>2.7509410000000001</v>
      </c>
      <c r="V16" s="78">
        <v>2.760834</v>
      </c>
      <c r="W16" s="78">
        <v>2.7721420000000001</v>
      </c>
      <c r="X16" s="78">
        <v>2.785005</v>
      </c>
      <c r="Y16" s="78">
        <v>2.799213</v>
      </c>
      <c r="Z16" s="78">
        <v>2.8162319999999998</v>
      </c>
      <c r="AA16" s="78">
        <v>2.8354370000000002</v>
      </c>
      <c r="AB16" s="78">
        <v>2.8571789999999999</v>
      </c>
      <c r="AC16" s="78">
        <v>2.8815369999999998</v>
      </c>
      <c r="AD16" s="78">
        <v>2.9082910000000002</v>
      </c>
      <c r="AE16" s="78">
        <v>2.936957</v>
      </c>
      <c r="AF16" s="78">
        <v>2.971066</v>
      </c>
      <c r="AG16" s="79">
        <v>0.01</v>
      </c>
    </row>
    <row r="17" spans="1:33" x14ac:dyDescent="0.25">
      <c r="A17" s="76" t="s">
        <v>41</v>
      </c>
      <c r="B17" s="78">
        <v>9.5560000000000003E-3</v>
      </c>
      <c r="C17" s="78">
        <v>9.9100000000000004E-3</v>
      </c>
      <c r="D17" s="78">
        <v>1.0094000000000001E-2</v>
      </c>
      <c r="E17" s="78">
        <v>1.0296E-2</v>
      </c>
      <c r="F17" s="78">
        <v>1.0546E-2</v>
      </c>
      <c r="G17" s="78">
        <v>1.1050000000000001E-2</v>
      </c>
      <c r="H17" s="78">
        <v>1.196E-2</v>
      </c>
      <c r="I17" s="78">
        <v>1.3181E-2</v>
      </c>
      <c r="J17" s="78">
        <v>1.5613999999999999E-2</v>
      </c>
      <c r="K17" s="78">
        <v>1.8009000000000001E-2</v>
      </c>
      <c r="L17" s="78">
        <v>2.6273999999999999E-2</v>
      </c>
      <c r="M17" s="78">
        <v>3.6560000000000002E-2</v>
      </c>
      <c r="N17" s="78">
        <v>5.0536999999999999E-2</v>
      </c>
      <c r="O17" s="78">
        <v>6.8708000000000005E-2</v>
      </c>
      <c r="P17" s="78">
        <v>9.0692999999999996E-2</v>
      </c>
      <c r="Q17" s="78">
        <v>0.12385500000000001</v>
      </c>
      <c r="R17" s="78">
        <v>0.156946</v>
      </c>
      <c r="S17" s="78">
        <v>0.19512199999999999</v>
      </c>
      <c r="T17" s="78">
        <v>0.23830399999999999</v>
      </c>
      <c r="U17" s="78">
        <v>0.28678199999999998</v>
      </c>
      <c r="V17" s="78">
        <v>0.34096599999999999</v>
      </c>
      <c r="W17" s="78">
        <v>0.40022799999999997</v>
      </c>
      <c r="X17" s="78">
        <v>0.46471699999999999</v>
      </c>
      <c r="Y17" s="78">
        <v>0.53522899999999995</v>
      </c>
      <c r="Z17" s="78">
        <v>0.61243800000000004</v>
      </c>
      <c r="AA17" s="78">
        <v>0.694407</v>
      </c>
      <c r="AB17" s="78">
        <v>0.78071299999999999</v>
      </c>
      <c r="AC17" s="78">
        <v>0.87195599999999995</v>
      </c>
      <c r="AD17" s="78">
        <v>0.96839500000000001</v>
      </c>
      <c r="AE17" s="78">
        <v>1.070397</v>
      </c>
      <c r="AF17" s="78">
        <v>1.1785030000000001</v>
      </c>
      <c r="AG17" s="79">
        <v>0.17899999999999999</v>
      </c>
    </row>
    <row r="18" spans="1:33" x14ac:dyDescent="0.25">
      <c r="A18" s="76" t="s">
        <v>42</v>
      </c>
      <c r="B18" s="78">
        <v>0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9.9999999999999995E-7</v>
      </c>
      <c r="Z18" s="78">
        <v>9.9999999999999995E-7</v>
      </c>
      <c r="AA18" s="78">
        <v>9.9999999999999995E-7</v>
      </c>
      <c r="AB18" s="78">
        <v>9.9999999999999995E-7</v>
      </c>
      <c r="AC18" s="78">
        <v>1.9999999999999999E-6</v>
      </c>
      <c r="AD18" s="78">
        <v>1.9999999999999999E-6</v>
      </c>
      <c r="AE18" s="78">
        <v>3.0000000000000001E-6</v>
      </c>
      <c r="AF18" s="78">
        <v>3.9999999999999998E-6</v>
      </c>
      <c r="AG18" s="78" t="s">
        <v>43</v>
      </c>
    </row>
    <row r="19" spans="1:33" x14ac:dyDescent="0.25">
      <c r="A19" s="76" t="s">
        <v>44</v>
      </c>
      <c r="B19" s="78">
        <v>0</v>
      </c>
      <c r="C19" s="78">
        <v>0</v>
      </c>
      <c r="D19" s="78">
        <v>0</v>
      </c>
      <c r="E19" s="78">
        <v>0</v>
      </c>
      <c r="F19" s="78">
        <v>7.8812999999999994E-2</v>
      </c>
      <c r="G19" s="78">
        <v>0.14946000000000001</v>
      </c>
      <c r="H19" s="78">
        <v>0.19727600000000001</v>
      </c>
      <c r="I19" s="78">
        <v>0.26991700000000002</v>
      </c>
      <c r="J19" s="78">
        <v>0.34925600000000001</v>
      </c>
      <c r="K19" s="78">
        <v>0.415464</v>
      </c>
      <c r="L19" s="78">
        <v>0.47628300000000001</v>
      </c>
      <c r="M19" s="78">
        <v>0.60931199999999996</v>
      </c>
      <c r="N19" s="78">
        <v>0.74260700000000002</v>
      </c>
      <c r="O19" s="78">
        <v>0.86655099999999996</v>
      </c>
      <c r="P19" s="78">
        <v>0.98393200000000003</v>
      </c>
      <c r="Q19" s="78">
        <v>1.156822</v>
      </c>
      <c r="R19" s="78">
        <v>1.2924599999999999</v>
      </c>
      <c r="S19" s="78">
        <v>1.4356359999999999</v>
      </c>
      <c r="T19" s="78">
        <v>1.5797639999999999</v>
      </c>
      <c r="U19" s="78">
        <v>1.7244930000000001</v>
      </c>
      <c r="V19" s="78">
        <v>1.8671979999999999</v>
      </c>
      <c r="W19" s="78">
        <v>2.0047619999999999</v>
      </c>
      <c r="X19" s="78">
        <v>2.1402640000000002</v>
      </c>
      <c r="Y19" s="78">
        <v>2.2731789999999998</v>
      </c>
      <c r="Z19" s="78">
        <v>2.4050959999999999</v>
      </c>
      <c r="AA19" s="78">
        <v>2.536289</v>
      </c>
      <c r="AB19" s="78">
        <v>2.6652179999999999</v>
      </c>
      <c r="AC19" s="78">
        <v>2.7926039999999999</v>
      </c>
      <c r="AD19" s="78">
        <v>2.9182929999999998</v>
      </c>
      <c r="AE19" s="78">
        <v>3.042316</v>
      </c>
      <c r="AF19" s="78">
        <v>3.164873</v>
      </c>
      <c r="AG19" s="78" t="s">
        <v>43</v>
      </c>
    </row>
    <row r="20" spans="1:33" x14ac:dyDescent="0.25">
      <c r="A20" s="76" t="s">
        <v>45</v>
      </c>
      <c r="B20" s="78">
        <v>0</v>
      </c>
      <c r="C20" s="78">
        <v>3.5569999999999998E-3</v>
      </c>
      <c r="D20" s="78">
        <v>7.2059999999999997E-3</v>
      </c>
      <c r="E20" s="78">
        <v>1.0543E-2</v>
      </c>
      <c r="F20" s="78">
        <v>3.3211999999999998E-2</v>
      </c>
      <c r="G20" s="78">
        <v>6.7252000000000006E-2</v>
      </c>
      <c r="H20" s="78">
        <v>0.124567</v>
      </c>
      <c r="I20" s="78">
        <v>0.173014</v>
      </c>
      <c r="J20" s="78">
        <v>0.235268</v>
      </c>
      <c r="K20" s="78">
        <v>0.27504800000000001</v>
      </c>
      <c r="L20" s="78">
        <v>0.33812900000000001</v>
      </c>
      <c r="M20" s="78">
        <v>0.39237100000000003</v>
      </c>
      <c r="N20" s="78">
        <v>0.443189</v>
      </c>
      <c r="O20" s="78">
        <v>0.49299700000000002</v>
      </c>
      <c r="P20" s="78">
        <v>0.54392099999999999</v>
      </c>
      <c r="Q20" s="78">
        <v>0.60612699999999997</v>
      </c>
      <c r="R20" s="78">
        <v>0.67320899999999995</v>
      </c>
      <c r="S20" s="78">
        <v>0.71460400000000002</v>
      </c>
      <c r="T20" s="78">
        <v>0.76036400000000004</v>
      </c>
      <c r="U20" s="78">
        <v>0.81123000000000001</v>
      </c>
      <c r="V20" s="78">
        <v>0.86807800000000002</v>
      </c>
      <c r="W20" s="78">
        <v>0.93729499999999999</v>
      </c>
      <c r="X20" s="78">
        <v>1.0027429999999999</v>
      </c>
      <c r="Y20" s="78">
        <v>1.0691630000000001</v>
      </c>
      <c r="Z20" s="78">
        <v>1.1324479999999999</v>
      </c>
      <c r="AA20" s="78">
        <v>1.189181</v>
      </c>
      <c r="AB20" s="78">
        <v>1.2479990000000001</v>
      </c>
      <c r="AC20" s="78">
        <v>1.3094680000000001</v>
      </c>
      <c r="AD20" s="78">
        <v>1.373872</v>
      </c>
      <c r="AE20" s="78">
        <v>1.4420329999999999</v>
      </c>
      <c r="AF20" s="78">
        <v>1.515169</v>
      </c>
      <c r="AG20" s="79">
        <v>0.23200000000000001</v>
      </c>
    </row>
    <row r="21" spans="1:33" x14ac:dyDescent="0.25">
      <c r="A21" s="76" t="s">
        <v>46</v>
      </c>
      <c r="B21" s="78">
        <v>0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9.3300000000000002E-4</v>
      </c>
      <c r="J21" s="78">
        <v>5.2399999999999999E-3</v>
      </c>
      <c r="K21" s="78">
        <v>1.4182E-2</v>
      </c>
      <c r="L21" s="78">
        <v>2.8760000000000001E-2</v>
      </c>
      <c r="M21" s="78">
        <v>5.4126000000000001E-2</v>
      </c>
      <c r="N21" s="78">
        <v>0.13034699999999999</v>
      </c>
      <c r="O21" s="78">
        <v>0.28334999999999999</v>
      </c>
      <c r="P21" s="78">
        <v>0.473688</v>
      </c>
      <c r="Q21" s="78">
        <v>0.69880200000000003</v>
      </c>
      <c r="R21" s="78">
        <v>0.93972199999999995</v>
      </c>
      <c r="S21" s="78">
        <v>1.197112</v>
      </c>
      <c r="T21" s="78">
        <v>1.464639</v>
      </c>
      <c r="U21" s="78">
        <v>1.7378420000000001</v>
      </c>
      <c r="V21" s="78">
        <v>2.0151189999999999</v>
      </c>
      <c r="W21" s="78">
        <v>2.2936079999999999</v>
      </c>
      <c r="X21" s="78">
        <v>2.569277</v>
      </c>
      <c r="Y21" s="78">
        <v>2.8418040000000002</v>
      </c>
      <c r="Z21" s="78">
        <v>3.1100759999999998</v>
      </c>
      <c r="AA21" s="78">
        <v>3.3733080000000002</v>
      </c>
      <c r="AB21" s="78">
        <v>3.6308829999999999</v>
      </c>
      <c r="AC21" s="78">
        <v>3.8851239999999998</v>
      </c>
      <c r="AD21" s="78">
        <v>4.139462</v>
      </c>
      <c r="AE21" s="78">
        <v>4.3932979999999997</v>
      </c>
      <c r="AF21" s="78">
        <v>4.6461420000000002</v>
      </c>
      <c r="AG21" s="78" t="s">
        <v>43</v>
      </c>
    </row>
    <row r="22" spans="1:33" x14ac:dyDescent="0.25">
      <c r="A22" s="76" t="s">
        <v>47</v>
      </c>
      <c r="B22" s="78">
        <v>1.531345</v>
      </c>
      <c r="C22" s="78">
        <v>1.739482</v>
      </c>
      <c r="D22" s="78">
        <v>1.992334</v>
      </c>
      <c r="E22" s="78">
        <v>2.2458209999999998</v>
      </c>
      <c r="F22" s="78">
        <v>2.552162</v>
      </c>
      <c r="G22" s="78">
        <v>2.8498800000000002</v>
      </c>
      <c r="H22" s="78">
        <v>3.1477599999999999</v>
      </c>
      <c r="I22" s="78">
        <v>3.4585629999999998</v>
      </c>
      <c r="J22" s="78">
        <v>3.7762530000000001</v>
      </c>
      <c r="K22" s="78">
        <v>4.0891400000000004</v>
      </c>
      <c r="L22" s="78">
        <v>4.405856</v>
      </c>
      <c r="M22" s="78">
        <v>4.7357610000000001</v>
      </c>
      <c r="N22" s="78">
        <v>5.0234259999999997</v>
      </c>
      <c r="O22" s="78">
        <v>5.2879009999999997</v>
      </c>
      <c r="P22" s="78">
        <v>5.5485040000000003</v>
      </c>
      <c r="Q22" s="78">
        <v>5.8701590000000001</v>
      </c>
      <c r="R22" s="78">
        <v>6.1094869999999997</v>
      </c>
      <c r="S22" s="78">
        <v>6.3357190000000001</v>
      </c>
      <c r="T22" s="78">
        <v>6.555193</v>
      </c>
      <c r="U22" s="78">
        <v>6.7684449999999998</v>
      </c>
      <c r="V22" s="78">
        <v>6.9763529999999996</v>
      </c>
      <c r="W22" s="78">
        <v>7.1771310000000001</v>
      </c>
      <c r="X22" s="78">
        <v>7.3697759999999999</v>
      </c>
      <c r="Y22" s="78">
        <v>7.5562880000000003</v>
      </c>
      <c r="Z22" s="78">
        <v>7.7394590000000001</v>
      </c>
      <c r="AA22" s="78">
        <v>7.9193210000000001</v>
      </c>
      <c r="AB22" s="78">
        <v>8.0972209999999993</v>
      </c>
      <c r="AC22" s="78">
        <v>8.2756819999999998</v>
      </c>
      <c r="AD22" s="78">
        <v>8.4541039999999992</v>
      </c>
      <c r="AE22" s="78">
        <v>8.6330229999999997</v>
      </c>
      <c r="AF22" s="78">
        <v>8.8129410000000004</v>
      </c>
      <c r="AG22" s="79">
        <v>5.8000000000000003E-2</v>
      </c>
    </row>
    <row r="23" spans="1:33" x14ac:dyDescent="0.25">
      <c r="A23" s="76" t="s">
        <v>48</v>
      </c>
      <c r="B23" s="78">
        <v>2.988E-2</v>
      </c>
      <c r="C23" s="78">
        <v>3.1886999999999999E-2</v>
      </c>
      <c r="D23" s="78">
        <v>3.4230999999999998E-2</v>
      </c>
      <c r="E23" s="78">
        <v>3.6505000000000003E-2</v>
      </c>
      <c r="F23" s="78">
        <v>3.8619000000000001E-2</v>
      </c>
      <c r="G23" s="78">
        <v>4.0827000000000002E-2</v>
      </c>
      <c r="H23" s="78">
        <v>4.3036999999999999E-2</v>
      </c>
      <c r="I23" s="78">
        <v>4.5215999999999999E-2</v>
      </c>
      <c r="J23" s="78">
        <v>4.7236E-2</v>
      </c>
      <c r="K23" s="78">
        <v>4.9214000000000001E-2</v>
      </c>
      <c r="L23" s="78">
        <v>5.1151000000000002E-2</v>
      </c>
      <c r="M23" s="78">
        <v>5.2971999999999998E-2</v>
      </c>
      <c r="N23" s="78">
        <v>5.4657999999999998E-2</v>
      </c>
      <c r="O23" s="78">
        <v>5.6244000000000002E-2</v>
      </c>
      <c r="P23" s="78">
        <v>5.7749000000000002E-2</v>
      </c>
      <c r="Q23" s="78">
        <v>5.9204E-2</v>
      </c>
      <c r="R23" s="78">
        <v>6.0579000000000001E-2</v>
      </c>
      <c r="S23" s="78">
        <v>6.1935999999999998E-2</v>
      </c>
      <c r="T23" s="78">
        <v>6.3268000000000005E-2</v>
      </c>
      <c r="U23" s="78">
        <v>6.4566999999999999E-2</v>
      </c>
      <c r="V23" s="78">
        <v>6.5842999999999999E-2</v>
      </c>
      <c r="W23" s="78">
        <v>6.7089999999999997E-2</v>
      </c>
      <c r="X23" s="78">
        <v>6.8293000000000006E-2</v>
      </c>
      <c r="Y23" s="78">
        <v>6.9459999999999994E-2</v>
      </c>
      <c r="Z23" s="78">
        <v>7.0609000000000005E-2</v>
      </c>
      <c r="AA23" s="78">
        <v>7.1745000000000003E-2</v>
      </c>
      <c r="AB23" s="78">
        <v>7.2867000000000001E-2</v>
      </c>
      <c r="AC23" s="78">
        <v>7.3999999999999996E-2</v>
      </c>
      <c r="AD23" s="78">
        <v>7.5150999999999996E-2</v>
      </c>
      <c r="AE23" s="78">
        <v>7.6317999999999997E-2</v>
      </c>
      <c r="AF23" s="78">
        <v>7.7498999999999998E-2</v>
      </c>
      <c r="AG23" s="79">
        <v>3.1E-2</v>
      </c>
    </row>
    <row r="24" spans="1:33" x14ac:dyDescent="0.25">
      <c r="A24" s="76" t="s">
        <v>49</v>
      </c>
      <c r="B24" s="78">
        <v>4.9655999999999999E-2</v>
      </c>
      <c r="C24" s="78">
        <v>5.2628000000000001E-2</v>
      </c>
      <c r="D24" s="78">
        <v>5.6184999999999999E-2</v>
      </c>
      <c r="E24" s="78">
        <v>5.9743999999999998E-2</v>
      </c>
      <c r="F24" s="78">
        <v>6.3010999999999998E-2</v>
      </c>
      <c r="G24" s="78">
        <v>6.6229999999999997E-2</v>
      </c>
      <c r="H24" s="78">
        <v>6.9439000000000001E-2</v>
      </c>
      <c r="I24" s="78">
        <v>7.2561E-2</v>
      </c>
      <c r="J24" s="78">
        <v>7.5471999999999997E-2</v>
      </c>
      <c r="K24" s="78">
        <v>7.8278E-2</v>
      </c>
      <c r="L24" s="78">
        <v>8.0992999999999996E-2</v>
      </c>
      <c r="M24" s="78">
        <v>8.3529999999999993E-2</v>
      </c>
      <c r="N24" s="78">
        <v>8.5851999999999998E-2</v>
      </c>
      <c r="O24" s="78">
        <v>8.8028999999999996E-2</v>
      </c>
      <c r="P24" s="78">
        <v>9.0091000000000004E-2</v>
      </c>
      <c r="Q24" s="78">
        <v>9.2064000000000007E-2</v>
      </c>
      <c r="R24" s="78">
        <v>9.3936000000000006E-2</v>
      </c>
      <c r="S24" s="78">
        <v>9.5794000000000004E-2</v>
      </c>
      <c r="T24" s="78">
        <v>9.7641000000000006E-2</v>
      </c>
      <c r="U24" s="78">
        <v>9.9469000000000002E-2</v>
      </c>
      <c r="V24" s="78">
        <v>0.101282</v>
      </c>
      <c r="W24" s="78">
        <v>0.103079</v>
      </c>
      <c r="X24" s="78">
        <v>0.104833</v>
      </c>
      <c r="Y24" s="78">
        <v>0.10656</v>
      </c>
      <c r="Z24" s="78">
        <v>0.108283</v>
      </c>
      <c r="AA24" s="78">
        <v>0.110014</v>
      </c>
      <c r="AB24" s="78">
        <v>0.111747</v>
      </c>
      <c r="AC24" s="78">
        <v>0.113524</v>
      </c>
      <c r="AD24" s="78">
        <v>0.115353</v>
      </c>
      <c r="AE24" s="78">
        <v>0.117248</v>
      </c>
      <c r="AF24" s="78">
        <v>0.1192</v>
      </c>
      <c r="AG24" s="79">
        <v>2.9000000000000001E-2</v>
      </c>
    </row>
    <row r="25" spans="1:33" x14ac:dyDescent="0.25">
      <c r="A25" s="76" t="s">
        <v>50</v>
      </c>
      <c r="B25" s="78">
        <v>2.375E-2</v>
      </c>
      <c r="C25" s="78">
        <v>2.4826999999999998E-2</v>
      </c>
      <c r="D25" s="78">
        <v>2.7421999999999998E-2</v>
      </c>
      <c r="E25" s="78">
        <v>3.0440999999999999E-2</v>
      </c>
      <c r="F25" s="78">
        <v>3.3611000000000002E-2</v>
      </c>
      <c r="G25" s="78">
        <v>3.7026000000000003E-2</v>
      </c>
      <c r="H25" s="78">
        <v>4.0695000000000002E-2</v>
      </c>
      <c r="I25" s="78">
        <v>4.4394999999999997E-2</v>
      </c>
      <c r="J25" s="78">
        <v>4.8092999999999997E-2</v>
      </c>
      <c r="K25" s="78">
        <v>5.1811999999999997E-2</v>
      </c>
      <c r="L25" s="78">
        <v>5.5440999999999997E-2</v>
      </c>
      <c r="M25" s="78">
        <v>5.8937000000000003E-2</v>
      </c>
      <c r="N25" s="78">
        <v>6.2245000000000002E-2</v>
      </c>
      <c r="O25" s="78">
        <v>6.5513000000000002E-2</v>
      </c>
      <c r="P25" s="78">
        <v>6.8690000000000001E-2</v>
      </c>
      <c r="Q25" s="78">
        <v>7.1761000000000005E-2</v>
      </c>
      <c r="R25" s="78">
        <v>7.4697E-2</v>
      </c>
      <c r="S25" s="78">
        <v>7.7616000000000004E-2</v>
      </c>
      <c r="T25" s="78">
        <v>8.0461000000000005E-2</v>
      </c>
      <c r="U25" s="78">
        <v>8.3222000000000004E-2</v>
      </c>
      <c r="V25" s="78">
        <v>8.5920999999999997E-2</v>
      </c>
      <c r="W25" s="78">
        <v>8.8544999999999999E-2</v>
      </c>
      <c r="X25" s="78">
        <v>9.1132000000000005E-2</v>
      </c>
      <c r="Y25" s="78">
        <v>9.3690999999999997E-2</v>
      </c>
      <c r="Z25" s="78">
        <v>9.6310000000000007E-2</v>
      </c>
      <c r="AA25" s="78">
        <v>9.9003999999999995E-2</v>
      </c>
      <c r="AB25" s="78">
        <v>0.101782</v>
      </c>
      <c r="AC25" s="78">
        <v>0.104715</v>
      </c>
      <c r="AD25" s="78">
        <v>0.10784000000000001</v>
      </c>
      <c r="AE25" s="78">
        <v>0.111178</v>
      </c>
      <c r="AF25" s="78">
        <v>0.114763</v>
      </c>
      <c r="AG25" s="79">
        <v>5.3999999999999999E-2</v>
      </c>
    </row>
    <row r="26" spans="1:33" x14ac:dyDescent="0.25">
      <c r="A26" s="76" t="s">
        <v>51</v>
      </c>
      <c r="B26" s="78">
        <v>3.3683999999999999E-2</v>
      </c>
      <c r="C26" s="78">
        <v>3.3863999999999998E-2</v>
      </c>
      <c r="D26" s="78">
        <v>3.4228000000000001E-2</v>
      </c>
      <c r="E26" s="78">
        <v>3.4655999999999999E-2</v>
      </c>
      <c r="F26" s="78">
        <v>3.5187000000000003E-2</v>
      </c>
      <c r="G26" s="78">
        <v>3.5645999999999997E-2</v>
      </c>
      <c r="H26" s="78">
        <v>3.6173999999999998E-2</v>
      </c>
      <c r="I26" s="78">
        <v>3.6736999999999999E-2</v>
      </c>
      <c r="J26" s="78">
        <v>3.7276999999999998E-2</v>
      </c>
      <c r="K26" s="78">
        <v>3.7865999999999997E-2</v>
      </c>
      <c r="L26" s="78">
        <v>3.8471999999999999E-2</v>
      </c>
      <c r="M26" s="78">
        <v>3.9077000000000001E-2</v>
      </c>
      <c r="N26" s="78">
        <v>3.9666E-2</v>
      </c>
      <c r="O26" s="78">
        <v>4.0254999999999999E-2</v>
      </c>
      <c r="P26" s="78">
        <v>4.0853E-2</v>
      </c>
      <c r="Q26" s="78">
        <v>4.1464000000000001E-2</v>
      </c>
      <c r="R26" s="78">
        <v>4.2070999999999997E-2</v>
      </c>
      <c r="S26" s="78">
        <v>4.2702999999999998E-2</v>
      </c>
      <c r="T26" s="78">
        <v>4.3354999999999998E-2</v>
      </c>
      <c r="U26" s="78">
        <v>4.4019000000000003E-2</v>
      </c>
      <c r="V26" s="78">
        <v>4.4692999999999997E-2</v>
      </c>
      <c r="W26" s="78">
        <v>4.5372000000000003E-2</v>
      </c>
      <c r="X26" s="78">
        <v>4.6043000000000001E-2</v>
      </c>
      <c r="Y26" s="78">
        <v>4.6705999999999998E-2</v>
      </c>
      <c r="Z26" s="78">
        <v>4.7371999999999997E-2</v>
      </c>
      <c r="AA26" s="78">
        <v>4.8044000000000003E-2</v>
      </c>
      <c r="AB26" s="78">
        <v>4.8717999999999997E-2</v>
      </c>
      <c r="AC26" s="78">
        <v>4.9409000000000002E-2</v>
      </c>
      <c r="AD26" s="78">
        <v>5.0123000000000001E-2</v>
      </c>
      <c r="AE26" s="78">
        <v>5.0854000000000003E-2</v>
      </c>
      <c r="AF26" s="78">
        <v>5.1603000000000003E-2</v>
      </c>
      <c r="AG26" s="79">
        <v>1.4999999999999999E-2</v>
      </c>
    </row>
    <row r="27" spans="1:33" x14ac:dyDescent="0.25">
      <c r="A27" s="76" t="s">
        <v>52</v>
      </c>
      <c r="B27" s="78">
        <v>0</v>
      </c>
      <c r="C27" s="78">
        <v>0</v>
      </c>
      <c r="D27" s="78">
        <v>0</v>
      </c>
      <c r="E27" s="78">
        <v>0</v>
      </c>
      <c r="F27" s="78">
        <v>0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  <c r="W27" s="78">
        <v>0</v>
      </c>
      <c r="X27" s="78">
        <v>0</v>
      </c>
      <c r="Y27" s="78">
        <v>0</v>
      </c>
      <c r="Z27" s="78">
        <v>0</v>
      </c>
      <c r="AA27" s="78">
        <v>0</v>
      </c>
      <c r="AB27" s="78">
        <v>0</v>
      </c>
      <c r="AC27" s="78">
        <v>0</v>
      </c>
      <c r="AD27" s="78">
        <v>0</v>
      </c>
      <c r="AE27" s="78">
        <v>0</v>
      </c>
      <c r="AF27" s="78">
        <v>0</v>
      </c>
      <c r="AG27" s="78" t="s">
        <v>43</v>
      </c>
    </row>
    <row r="28" spans="1:33" x14ac:dyDescent="0.25">
      <c r="A28" s="76" t="s">
        <v>53</v>
      </c>
      <c r="B28" s="78">
        <v>0</v>
      </c>
      <c r="C28" s="78">
        <v>0</v>
      </c>
      <c r="D28" s="78">
        <v>0</v>
      </c>
      <c r="E28" s="78">
        <v>0</v>
      </c>
      <c r="F28" s="78">
        <v>0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  <c r="W28" s="78">
        <v>0</v>
      </c>
      <c r="X28" s="78">
        <v>0</v>
      </c>
      <c r="Y28" s="78">
        <v>0</v>
      </c>
      <c r="Z28" s="78">
        <v>0</v>
      </c>
      <c r="AA28" s="78">
        <v>0</v>
      </c>
      <c r="AB28" s="78">
        <v>0</v>
      </c>
      <c r="AC28" s="78">
        <v>0</v>
      </c>
      <c r="AD28" s="78">
        <v>0</v>
      </c>
      <c r="AE28" s="78">
        <v>0</v>
      </c>
      <c r="AF28" s="78">
        <v>0</v>
      </c>
      <c r="AG28" s="78" t="s">
        <v>43</v>
      </c>
    </row>
    <row r="29" spans="1:33" x14ac:dyDescent="0.25">
      <c r="A29" s="76" t="s">
        <v>54</v>
      </c>
      <c r="B29" s="78">
        <v>0</v>
      </c>
      <c r="C29" s="78">
        <v>0</v>
      </c>
      <c r="D29" s="78">
        <v>0</v>
      </c>
      <c r="E29" s="78">
        <v>0</v>
      </c>
      <c r="F29" s="78">
        <v>0</v>
      </c>
      <c r="G29" s="78">
        <v>5.8500000000000002E-4</v>
      </c>
      <c r="H29" s="78">
        <v>1.1659999999999999E-3</v>
      </c>
      <c r="I29" s="78">
        <v>3.3240000000000001E-3</v>
      </c>
      <c r="J29" s="78">
        <v>7.7419999999999998E-3</v>
      </c>
      <c r="K29" s="78">
        <v>1.2088E-2</v>
      </c>
      <c r="L29" s="78">
        <v>1.6154999999999999E-2</v>
      </c>
      <c r="M29" s="78">
        <v>2.0181000000000001E-2</v>
      </c>
      <c r="N29" s="78">
        <v>2.3857E-2</v>
      </c>
      <c r="O29" s="78">
        <v>2.7275000000000001E-2</v>
      </c>
      <c r="P29" s="78">
        <v>3.0824000000000001E-2</v>
      </c>
      <c r="Q29" s="78">
        <v>3.39E-2</v>
      </c>
      <c r="R29" s="78">
        <v>3.6829000000000001E-2</v>
      </c>
      <c r="S29" s="78">
        <v>3.9796999999999999E-2</v>
      </c>
      <c r="T29" s="78">
        <v>4.2595000000000001E-2</v>
      </c>
      <c r="U29" s="78">
        <v>4.5217E-2</v>
      </c>
      <c r="V29" s="78">
        <v>4.7712999999999998E-2</v>
      </c>
      <c r="W29" s="78">
        <v>5.0077999999999998E-2</v>
      </c>
      <c r="X29" s="78">
        <v>5.2311000000000003E-2</v>
      </c>
      <c r="Y29" s="78">
        <v>5.4419000000000002E-2</v>
      </c>
      <c r="Z29" s="78">
        <v>5.6439000000000003E-2</v>
      </c>
      <c r="AA29" s="78">
        <v>5.8390999999999998E-2</v>
      </c>
      <c r="AB29" s="78">
        <v>6.0292999999999999E-2</v>
      </c>
      <c r="AC29" s="78">
        <v>6.2189000000000001E-2</v>
      </c>
      <c r="AD29" s="78">
        <v>6.4112000000000002E-2</v>
      </c>
      <c r="AE29" s="78">
        <v>6.6090999999999997E-2</v>
      </c>
      <c r="AF29" s="78">
        <v>6.8162E-2</v>
      </c>
      <c r="AG29" s="78" t="s">
        <v>43</v>
      </c>
    </row>
    <row r="30" spans="1:33" x14ac:dyDescent="0.25">
      <c r="A30" s="76" t="s">
        <v>55</v>
      </c>
      <c r="B30" s="78">
        <v>3.546888</v>
      </c>
      <c r="C30" s="78">
        <v>4.110754</v>
      </c>
      <c r="D30" s="78">
        <v>4.3939950000000003</v>
      </c>
      <c r="E30" s="78">
        <v>4.742235</v>
      </c>
      <c r="F30" s="78">
        <v>5.2334709999999998</v>
      </c>
      <c r="G30" s="78">
        <v>5.7116639999999999</v>
      </c>
      <c r="H30" s="78">
        <v>6.18649</v>
      </c>
      <c r="I30" s="78">
        <v>6.6814179999999999</v>
      </c>
      <c r="J30" s="78">
        <v>7.2000060000000001</v>
      </c>
      <c r="K30" s="78">
        <v>7.6776689999999999</v>
      </c>
      <c r="L30" s="78">
        <v>8.1819769999999998</v>
      </c>
      <c r="M30" s="78">
        <v>8.7671720000000004</v>
      </c>
      <c r="N30" s="78">
        <v>9.3532170000000008</v>
      </c>
      <c r="O30" s="78">
        <v>9.9845249999999997</v>
      </c>
      <c r="P30" s="78">
        <v>10.645720000000001</v>
      </c>
      <c r="Q30" s="78">
        <v>11.477193</v>
      </c>
      <c r="R30" s="78">
        <v>12.206759</v>
      </c>
      <c r="S30" s="78">
        <v>12.929759000000001</v>
      </c>
      <c r="T30" s="78">
        <v>13.667521000000001</v>
      </c>
      <c r="U30" s="78">
        <v>14.416228</v>
      </c>
      <c r="V30" s="78">
        <v>15.174001000000001</v>
      </c>
      <c r="W30" s="78">
        <v>15.939330999999999</v>
      </c>
      <c r="X30" s="78">
        <v>16.694395</v>
      </c>
      <c r="Y30" s="78">
        <v>17.445710999999999</v>
      </c>
      <c r="Z30" s="78">
        <v>18.194762999999998</v>
      </c>
      <c r="AA30" s="78">
        <v>18.935143</v>
      </c>
      <c r="AB30" s="78">
        <v>19.674620000000001</v>
      </c>
      <c r="AC30" s="78">
        <v>20.420210000000001</v>
      </c>
      <c r="AD30" s="78">
        <v>21.174999</v>
      </c>
      <c r="AE30" s="78">
        <v>21.939717999999999</v>
      </c>
      <c r="AF30" s="78">
        <v>22.719923000000001</v>
      </c>
      <c r="AG30" s="79">
        <v>6.0999999999999999E-2</v>
      </c>
    </row>
    <row r="31" spans="1:33" x14ac:dyDescent="0.25">
      <c r="A31" s="76"/>
    </row>
    <row r="32" spans="1:33" ht="14.4" x14ac:dyDescent="0.3">
      <c r="A32" s="77" t="s">
        <v>56</v>
      </c>
      <c r="B32" s="80">
        <v>129.89415</v>
      </c>
      <c r="C32" s="80">
        <v>128.64811700000001</v>
      </c>
      <c r="D32" s="80">
        <v>128.11914100000001</v>
      </c>
      <c r="E32" s="80">
        <v>127.784943</v>
      </c>
      <c r="F32" s="80">
        <v>127.89864300000001</v>
      </c>
      <c r="G32" s="80">
        <v>128.31805399999999</v>
      </c>
      <c r="H32" s="80">
        <v>129.088593</v>
      </c>
      <c r="I32" s="80">
        <v>130.10786400000001</v>
      </c>
      <c r="J32" s="80">
        <v>131.14698799999999</v>
      </c>
      <c r="K32" s="80">
        <v>132.46816999999999</v>
      </c>
      <c r="L32" s="80">
        <v>133.97995</v>
      </c>
      <c r="M32" s="80">
        <v>135.54463200000001</v>
      </c>
      <c r="N32" s="80">
        <v>137.10964999999999</v>
      </c>
      <c r="O32" s="80">
        <v>138.720001</v>
      </c>
      <c r="P32" s="80">
        <v>140.40589900000001</v>
      </c>
      <c r="Q32" s="80">
        <v>142.195267</v>
      </c>
      <c r="R32" s="80">
        <v>143.998932</v>
      </c>
      <c r="S32" s="80">
        <v>145.92756700000001</v>
      </c>
      <c r="T32" s="80">
        <v>147.949692</v>
      </c>
      <c r="U32" s="80">
        <v>150.033783</v>
      </c>
      <c r="V32" s="80">
        <v>152.17222599999999</v>
      </c>
      <c r="W32" s="80">
        <v>154.34277299999999</v>
      </c>
      <c r="X32" s="80">
        <v>156.50123600000001</v>
      </c>
      <c r="Y32" s="80">
        <v>158.64210499999999</v>
      </c>
      <c r="Z32" s="80">
        <v>160.800659</v>
      </c>
      <c r="AA32" s="80">
        <v>162.978882</v>
      </c>
      <c r="AB32" s="80">
        <v>165.16655</v>
      </c>
      <c r="AC32" s="80">
        <v>167.41339099999999</v>
      </c>
      <c r="AD32" s="80">
        <v>169.73033100000001</v>
      </c>
      <c r="AE32" s="80">
        <v>172.102585</v>
      </c>
      <c r="AF32" s="80">
        <v>174.52336099999999</v>
      </c>
      <c r="AG32" s="81">
        <v>1.0999999999999999E-2</v>
      </c>
    </row>
    <row r="33" spans="1:33" x14ac:dyDescent="0.25">
      <c r="A33" s="76"/>
    </row>
    <row r="34" spans="1:33" ht="14.4" x14ac:dyDescent="0.3">
      <c r="A34" s="77" t="s">
        <v>57</v>
      </c>
    </row>
    <row r="35" spans="1:33" ht="14.4" x14ac:dyDescent="0.3">
      <c r="A35" s="77" t="s">
        <v>58</v>
      </c>
    </row>
    <row r="36" spans="1:33" x14ac:dyDescent="0.25">
      <c r="A36" s="76" t="s">
        <v>36</v>
      </c>
      <c r="B36" s="78">
        <v>87.164412999999996</v>
      </c>
      <c r="C36" s="78">
        <v>86.253722999999994</v>
      </c>
      <c r="D36" s="78">
        <v>86.044051999999994</v>
      </c>
      <c r="E36" s="78">
        <v>86.087128000000007</v>
      </c>
      <c r="F36" s="78">
        <v>86.381812999999994</v>
      </c>
      <c r="G36" s="78">
        <v>86.855735999999993</v>
      </c>
      <c r="H36" s="78">
        <v>87.393021000000005</v>
      </c>
      <c r="I36" s="78">
        <v>87.894745</v>
      </c>
      <c r="J36" s="78">
        <v>88.280997999999997</v>
      </c>
      <c r="K36" s="78">
        <v>88.585014000000001</v>
      </c>
      <c r="L36" s="78">
        <v>88.819785999999993</v>
      </c>
      <c r="M36" s="78">
        <v>89.015991</v>
      </c>
      <c r="N36" s="78">
        <v>89.136168999999995</v>
      </c>
      <c r="O36" s="78">
        <v>89.229438999999999</v>
      </c>
      <c r="P36" s="78">
        <v>89.315360999999996</v>
      </c>
      <c r="Q36" s="78">
        <v>89.417702000000006</v>
      </c>
      <c r="R36" s="78">
        <v>89.573447999999999</v>
      </c>
      <c r="S36" s="78">
        <v>89.640647999999999</v>
      </c>
      <c r="T36" s="78">
        <v>89.637978000000004</v>
      </c>
      <c r="U36" s="78">
        <v>89.583427</v>
      </c>
      <c r="V36" s="78">
        <v>89.497428999999997</v>
      </c>
      <c r="W36" s="78">
        <v>89.382469</v>
      </c>
      <c r="X36" s="78">
        <v>89.226417999999995</v>
      </c>
      <c r="Y36" s="78">
        <v>89.015884</v>
      </c>
      <c r="Z36" s="78">
        <v>88.786109999999994</v>
      </c>
      <c r="AA36" s="78">
        <v>88.546088999999995</v>
      </c>
      <c r="AB36" s="78">
        <v>88.293930000000003</v>
      </c>
      <c r="AC36" s="78">
        <v>88.058716000000004</v>
      </c>
      <c r="AD36" s="78">
        <v>87.848297000000002</v>
      </c>
      <c r="AE36" s="78">
        <v>87.657082000000003</v>
      </c>
      <c r="AF36" s="78">
        <v>87.452950000000001</v>
      </c>
      <c r="AG36" s="79">
        <v>0</v>
      </c>
    </row>
    <row r="37" spans="1:33" x14ac:dyDescent="0.25">
      <c r="A37" s="76" t="s">
        <v>37</v>
      </c>
      <c r="B37" s="78">
        <v>8.6537000000000003E-2</v>
      </c>
      <c r="C37" s="78">
        <v>0.121477</v>
      </c>
      <c r="D37" s="78">
        <v>0.171511</v>
      </c>
      <c r="E37" s="78">
        <v>0.22439600000000001</v>
      </c>
      <c r="F37" s="78">
        <v>0.28032000000000001</v>
      </c>
      <c r="G37" s="78">
        <v>0.33640700000000001</v>
      </c>
      <c r="H37" s="78">
        <v>0.393013</v>
      </c>
      <c r="I37" s="78">
        <v>0.46068900000000002</v>
      </c>
      <c r="J37" s="78">
        <v>0.52242699999999997</v>
      </c>
      <c r="K37" s="78">
        <v>0.59413300000000002</v>
      </c>
      <c r="L37" s="78">
        <v>0.66349199999999997</v>
      </c>
      <c r="M37" s="78">
        <v>0.72987999999999997</v>
      </c>
      <c r="N37" s="78">
        <v>0.79051099999999996</v>
      </c>
      <c r="O37" s="78">
        <v>0.84811700000000001</v>
      </c>
      <c r="P37" s="78">
        <v>0.90299300000000005</v>
      </c>
      <c r="Q37" s="78">
        <v>0.955646</v>
      </c>
      <c r="R37" s="78">
        <v>1.0047839999999999</v>
      </c>
      <c r="S37" s="78">
        <v>1.046834</v>
      </c>
      <c r="T37" s="78">
        <v>1.082349</v>
      </c>
      <c r="U37" s="78">
        <v>1.1125640000000001</v>
      </c>
      <c r="V37" s="78">
        <v>1.138363</v>
      </c>
      <c r="W37" s="78">
        <v>1.159845</v>
      </c>
      <c r="X37" s="78">
        <v>1.1769750000000001</v>
      </c>
      <c r="Y37" s="78">
        <v>1.187076</v>
      </c>
      <c r="Z37" s="78">
        <v>1.1925859999999999</v>
      </c>
      <c r="AA37" s="78">
        <v>1.1950179999999999</v>
      </c>
      <c r="AB37" s="78">
        <v>1.194321</v>
      </c>
      <c r="AC37" s="78">
        <v>1.1930160000000001</v>
      </c>
      <c r="AD37" s="78">
        <v>1.192782</v>
      </c>
      <c r="AE37" s="78">
        <v>1.192466</v>
      </c>
      <c r="AF37" s="78">
        <v>1.191694</v>
      </c>
      <c r="AG37" s="79">
        <v>8.2000000000000003E-2</v>
      </c>
    </row>
    <row r="38" spans="1:33" x14ac:dyDescent="0.25">
      <c r="A38" s="76" t="s">
        <v>59</v>
      </c>
      <c r="B38" s="78">
        <v>87.250953999999993</v>
      </c>
      <c r="C38" s="78">
        <v>86.375197999999997</v>
      </c>
      <c r="D38" s="78">
        <v>86.215560999999994</v>
      </c>
      <c r="E38" s="78">
        <v>86.311522999999994</v>
      </c>
      <c r="F38" s="78">
        <v>86.662132</v>
      </c>
      <c r="G38" s="78">
        <v>87.192145999999994</v>
      </c>
      <c r="H38" s="78">
        <v>87.786034000000001</v>
      </c>
      <c r="I38" s="78">
        <v>88.355430999999996</v>
      </c>
      <c r="J38" s="78">
        <v>88.803428999999994</v>
      </c>
      <c r="K38" s="78">
        <v>89.179146000000003</v>
      </c>
      <c r="L38" s="78">
        <v>89.483276000000004</v>
      </c>
      <c r="M38" s="78">
        <v>89.745872000000006</v>
      </c>
      <c r="N38" s="78">
        <v>89.926682</v>
      </c>
      <c r="O38" s="78">
        <v>90.077552999999995</v>
      </c>
      <c r="P38" s="78">
        <v>90.218352999999993</v>
      </c>
      <c r="Q38" s="78">
        <v>90.373344000000003</v>
      </c>
      <c r="R38" s="78">
        <v>90.578232</v>
      </c>
      <c r="S38" s="78">
        <v>90.687484999999995</v>
      </c>
      <c r="T38" s="78">
        <v>90.720329000000007</v>
      </c>
      <c r="U38" s="78">
        <v>90.695992000000004</v>
      </c>
      <c r="V38" s="78">
        <v>90.635795999999999</v>
      </c>
      <c r="W38" s="78">
        <v>90.542312999999993</v>
      </c>
      <c r="X38" s="78">
        <v>90.403389000000004</v>
      </c>
      <c r="Y38" s="78">
        <v>90.202956999999998</v>
      </c>
      <c r="Z38" s="78">
        <v>89.978699000000006</v>
      </c>
      <c r="AA38" s="78">
        <v>89.741104000000007</v>
      </c>
      <c r="AB38" s="78">
        <v>89.488251000000005</v>
      </c>
      <c r="AC38" s="78">
        <v>89.251732000000004</v>
      </c>
      <c r="AD38" s="78">
        <v>89.041077000000001</v>
      </c>
      <c r="AE38" s="78">
        <v>88.849547999999999</v>
      </c>
      <c r="AF38" s="78">
        <v>88.644645999999995</v>
      </c>
      <c r="AG38" s="79">
        <v>1E-3</v>
      </c>
    </row>
    <row r="39" spans="1:33" x14ac:dyDescent="0.25">
      <c r="A39" s="76"/>
    </row>
    <row r="40" spans="1:33" ht="14.4" x14ac:dyDescent="0.3">
      <c r="A40" s="77" t="s">
        <v>60</v>
      </c>
    </row>
    <row r="41" spans="1:33" x14ac:dyDescent="0.25">
      <c r="A41" s="76" t="s">
        <v>40</v>
      </c>
      <c r="B41" s="78">
        <v>6.6977500000000001</v>
      </c>
      <c r="C41" s="78">
        <v>7.7314920000000003</v>
      </c>
      <c r="D41" s="78">
        <v>8.4494000000000007</v>
      </c>
      <c r="E41" s="78">
        <v>9.2294020000000003</v>
      </c>
      <c r="F41" s="78">
        <v>10.069990000000001</v>
      </c>
      <c r="G41" s="78">
        <v>10.869424</v>
      </c>
      <c r="H41" s="78">
        <v>11.668569</v>
      </c>
      <c r="I41" s="78">
        <v>12.425706999999999</v>
      </c>
      <c r="J41" s="78">
        <v>13.094271000000001</v>
      </c>
      <c r="K41" s="78">
        <v>13.691022999999999</v>
      </c>
      <c r="L41" s="78">
        <v>14.224297999999999</v>
      </c>
      <c r="M41" s="78">
        <v>14.707027999999999</v>
      </c>
      <c r="N41" s="78">
        <v>15.134251000000001</v>
      </c>
      <c r="O41" s="78">
        <v>15.516538000000001</v>
      </c>
      <c r="P41" s="78">
        <v>15.88297</v>
      </c>
      <c r="Q41" s="78">
        <v>16.211948</v>
      </c>
      <c r="R41" s="78">
        <v>16.515688000000001</v>
      </c>
      <c r="S41" s="78">
        <v>16.799392999999998</v>
      </c>
      <c r="T41" s="78">
        <v>17.043268000000001</v>
      </c>
      <c r="U41" s="78">
        <v>17.246963999999998</v>
      </c>
      <c r="V41" s="78">
        <v>17.417791000000001</v>
      </c>
      <c r="W41" s="78">
        <v>17.558737000000001</v>
      </c>
      <c r="X41" s="78">
        <v>17.669121000000001</v>
      </c>
      <c r="Y41" s="78">
        <v>17.747499000000001</v>
      </c>
      <c r="Z41" s="78">
        <v>17.802202000000001</v>
      </c>
      <c r="AA41" s="78">
        <v>17.840302000000001</v>
      </c>
      <c r="AB41" s="78">
        <v>17.863769999999999</v>
      </c>
      <c r="AC41" s="78">
        <v>17.881401</v>
      </c>
      <c r="AD41" s="78">
        <v>17.89592</v>
      </c>
      <c r="AE41" s="78">
        <v>17.906185000000001</v>
      </c>
      <c r="AF41" s="78">
        <v>17.945088999999999</v>
      </c>
      <c r="AG41" s="79">
        <v>2.9000000000000001E-2</v>
      </c>
    </row>
    <row r="42" spans="1:33" x14ac:dyDescent="0.25">
      <c r="A42" s="76" t="s">
        <v>41</v>
      </c>
      <c r="B42" s="78">
        <v>1.2004000000000001E-2</v>
      </c>
      <c r="C42" s="78">
        <v>1.2668E-2</v>
      </c>
      <c r="D42" s="78">
        <v>1.3254E-2</v>
      </c>
      <c r="E42" s="78">
        <v>1.388E-2</v>
      </c>
      <c r="F42" s="78">
        <v>1.4718999999999999E-2</v>
      </c>
      <c r="G42" s="78">
        <v>1.6088000000000002E-2</v>
      </c>
      <c r="H42" s="78">
        <v>1.7319000000000001E-2</v>
      </c>
      <c r="I42" s="78">
        <v>2.1714000000000001E-2</v>
      </c>
      <c r="J42" s="78">
        <v>2.6849999999999999E-2</v>
      </c>
      <c r="K42" s="78">
        <v>3.1911000000000002E-2</v>
      </c>
      <c r="L42" s="78">
        <v>3.7321E-2</v>
      </c>
      <c r="M42" s="78">
        <v>4.3307999999999999E-2</v>
      </c>
      <c r="N42" s="78">
        <v>5.0207000000000002E-2</v>
      </c>
      <c r="O42" s="78">
        <v>5.7884999999999999E-2</v>
      </c>
      <c r="P42" s="78">
        <v>6.6679000000000002E-2</v>
      </c>
      <c r="Q42" s="78">
        <v>7.7138999999999999E-2</v>
      </c>
      <c r="R42" s="78">
        <v>8.8622000000000006E-2</v>
      </c>
      <c r="S42" s="78">
        <v>0.10076400000000001</v>
      </c>
      <c r="T42" s="78">
        <v>0.113497</v>
      </c>
      <c r="U42" s="78">
        <v>0.12685199999999999</v>
      </c>
      <c r="V42" s="78">
        <v>0.14089699999999999</v>
      </c>
      <c r="W42" s="78">
        <v>0.15550600000000001</v>
      </c>
      <c r="X42" s="78">
        <v>0.170623</v>
      </c>
      <c r="Y42" s="78">
        <v>0.18628600000000001</v>
      </c>
      <c r="Z42" s="78">
        <v>0.202658</v>
      </c>
      <c r="AA42" s="78">
        <v>0.219335</v>
      </c>
      <c r="AB42" s="78">
        <v>0.236235</v>
      </c>
      <c r="AC42" s="78">
        <v>0.25347999999999998</v>
      </c>
      <c r="AD42" s="78">
        <v>0.27111600000000002</v>
      </c>
      <c r="AE42" s="78">
        <v>0.28917500000000002</v>
      </c>
      <c r="AF42" s="78">
        <v>0.30769200000000002</v>
      </c>
      <c r="AG42" s="79">
        <v>0.11600000000000001</v>
      </c>
    </row>
    <row r="43" spans="1:33" x14ac:dyDescent="0.25">
      <c r="A43" s="76" t="s">
        <v>42</v>
      </c>
      <c r="B43" s="78">
        <v>0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  <c r="W43" s="78">
        <v>0</v>
      </c>
      <c r="X43" s="78">
        <v>0</v>
      </c>
      <c r="Y43" s="78">
        <v>0</v>
      </c>
      <c r="Z43" s="78">
        <v>0</v>
      </c>
      <c r="AA43" s="78">
        <v>0</v>
      </c>
      <c r="AB43" s="78">
        <v>0</v>
      </c>
      <c r="AC43" s="78">
        <v>0</v>
      </c>
      <c r="AD43" s="78">
        <v>0</v>
      </c>
      <c r="AE43" s="78">
        <v>0</v>
      </c>
      <c r="AF43" s="78">
        <v>0</v>
      </c>
      <c r="AG43" s="78" t="s">
        <v>43</v>
      </c>
    </row>
    <row r="44" spans="1:33" x14ac:dyDescent="0.25">
      <c r="A44" s="76" t="s">
        <v>44</v>
      </c>
      <c r="B44" s="78">
        <v>0</v>
      </c>
      <c r="C44" s="78">
        <v>0</v>
      </c>
      <c r="D44" s="78">
        <v>0</v>
      </c>
      <c r="E44" s="78">
        <v>0</v>
      </c>
      <c r="F44" s="78">
        <v>0</v>
      </c>
      <c r="G44" s="78">
        <v>4.3319999999999999E-3</v>
      </c>
      <c r="H44" s="78">
        <v>8.4370000000000001E-3</v>
      </c>
      <c r="I44" s="78">
        <v>1.5022000000000001E-2</v>
      </c>
      <c r="J44" s="78">
        <v>2.1793E-2</v>
      </c>
      <c r="K44" s="78">
        <v>2.7625E-2</v>
      </c>
      <c r="L44" s="78">
        <v>3.2999000000000001E-2</v>
      </c>
      <c r="M44" s="78">
        <v>3.8532999999999998E-2</v>
      </c>
      <c r="N44" s="78">
        <v>4.6718999999999997E-2</v>
      </c>
      <c r="O44" s="78">
        <v>5.6673000000000001E-2</v>
      </c>
      <c r="P44" s="78">
        <v>6.4991999999999994E-2</v>
      </c>
      <c r="Q44" s="78">
        <v>7.2230000000000003E-2</v>
      </c>
      <c r="R44" s="78">
        <v>7.8286999999999995E-2</v>
      </c>
      <c r="S44" s="78">
        <v>8.4075999999999998E-2</v>
      </c>
      <c r="T44" s="78">
        <v>9.0614E-2</v>
      </c>
      <c r="U44" s="78">
        <v>9.7338999999999995E-2</v>
      </c>
      <c r="V44" s="78">
        <v>0.103967</v>
      </c>
      <c r="W44" s="78">
        <v>0.11039499999999999</v>
      </c>
      <c r="X44" s="78">
        <v>0.116565</v>
      </c>
      <c r="Y44" s="78">
        <v>0.122463</v>
      </c>
      <c r="Z44" s="78">
        <v>0.12812000000000001</v>
      </c>
      <c r="AA44" s="78">
        <v>0.13337199999999999</v>
      </c>
      <c r="AB44" s="78">
        <v>0.13852</v>
      </c>
      <c r="AC44" s="78">
        <v>0.143479</v>
      </c>
      <c r="AD44" s="78">
        <v>0.14827099999999999</v>
      </c>
      <c r="AE44" s="78">
        <v>0.15291099999999999</v>
      </c>
      <c r="AF44" s="78">
        <v>0.15739900000000001</v>
      </c>
      <c r="AG44" s="78" t="s">
        <v>43</v>
      </c>
    </row>
    <row r="45" spans="1:33" x14ac:dyDescent="0.25">
      <c r="A45" s="76" t="s">
        <v>45</v>
      </c>
      <c r="B45" s="78">
        <v>0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  <c r="R45" s="78">
        <v>0</v>
      </c>
      <c r="S45" s="78">
        <v>0</v>
      </c>
      <c r="T45" s="78">
        <v>0</v>
      </c>
      <c r="U45" s="78">
        <v>0</v>
      </c>
      <c r="V45" s="78">
        <v>0</v>
      </c>
      <c r="W45" s="78">
        <v>0</v>
      </c>
      <c r="X45" s="78">
        <v>0</v>
      </c>
      <c r="Y45" s="78">
        <v>0</v>
      </c>
      <c r="Z45" s="78">
        <v>0</v>
      </c>
      <c r="AA45" s="78">
        <v>0</v>
      </c>
      <c r="AB45" s="78">
        <v>0</v>
      </c>
      <c r="AC45" s="78">
        <v>0</v>
      </c>
      <c r="AD45" s="78">
        <v>0</v>
      </c>
      <c r="AE45" s="78">
        <v>0</v>
      </c>
      <c r="AF45" s="78">
        <v>0</v>
      </c>
      <c r="AG45" s="78" t="s">
        <v>43</v>
      </c>
    </row>
    <row r="46" spans="1:33" x14ac:dyDescent="0.25">
      <c r="A46" s="76" t="s">
        <v>46</v>
      </c>
      <c r="B46" s="78">
        <v>0</v>
      </c>
      <c r="C46" s="78">
        <v>0</v>
      </c>
      <c r="D46" s="78">
        <v>0</v>
      </c>
      <c r="E46" s="78">
        <v>0</v>
      </c>
      <c r="F46" s="78">
        <v>0</v>
      </c>
      <c r="G46" s="78">
        <v>9.9999999999999995E-7</v>
      </c>
      <c r="H46" s="78">
        <v>3.9999999999999998E-6</v>
      </c>
      <c r="I46" s="78">
        <v>2.898E-3</v>
      </c>
      <c r="J46" s="78">
        <v>8.0949999999999998E-3</v>
      </c>
      <c r="K46" s="78">
        <v>3.1331999999999999E-2</v>
      </c>
      <c r="L46" s="78">
        <v>3.4923000000000003E-2</v>
      </c>
      <c r="M46" s="78">
        <v>3.8531999999999997E-2</v>
      </c>
      <c r="N46" s="78">
        <v>4.1946999999999998E-2</v>
      </c>
      <c r="O46" s="78">
        <v>4.4954000000000001E-2</v>
      </c>
      <c r="P46" s="78">
        <v>4.7793000000000002E-2</v>
      </c>
      <c r="Q46" s="78">
        <v>5.0401000000000001E-2</v>
      </c>
      <c r="R46" s="78">
        <v>5.2782999999999997E-2</v>
      </c>
      <c r="S46" s="78">
        <v>5.4906999999999997E-2</v>
      </c>
      <c r="T46" s="78">
        <v>5.6779000000000003E-2</v>
      </c>
      <c r="U46" s="78">
        <v>5.8401000000000002E-2</v>
      </c>
      <c r="V46" s="78">
        <v>5.9493999999999998E-2</v>
      </c>
      <c r="W46" s="78">
        <v>5.9027999999999997E-2</v>
      </c>
      <c r="X46" s="78">
        <v>5.7286999999999998E-2</v>
      </c>
      <c r="Y46" s="78">
        <v>5.5080999999999998E-2</v>
      </c>
      <c r="Z46" s="78">
        <v>5.2725000000000001E-2</v>
      </c>
      <c r="AA46" s="78">
        <v>5.0263000000000002E-2</v>
      </c>
      <c r="AB46" s="78">
        <v>4.7745999999999997E-2</v>
      </c>
      <c r="AC46" s="78">
        <v>4.5213999999999997E-2</v>
      </c>
      <c r="AD46" s="78">
        <v>4.2726E-2</v>
      </c>
      <c r="AE46" s="78">
        <v>4.045E-2</v>
      </c>
      <c r="AF46" s="78">
        <v>3.8130999999999998E-2</v>
      </c>
      <c r="AG46" s="78" t="s">
        <v>43</v>
      </c>
    </row>
    <row r="47" spans="1:33" x14ac:dyDescent="0.25">
      <c r="A47" s="76" t="s">
        <v>47</v>
      </c>
      <c r="B47" s="78">
        <v>0.35892000000000002</v>
      </c>
      <c r="C47" s="78">
        <v>0.38331799999999999</v>
      </c>
      <c r="D47" s="78">
        <v>0.41743799999999998</v>
      </c>
      <c r="E47" s="78">
        <v>0.44959100000000002</v>
      </c>
      <c r="F47" s="78">
        <v>0.48118699999999998</v>
      </c>
      <c r="G47" s="78">
        <v>0.52183500000000005</v>
      </c>
      <c r="H47" s="78">
        <v>0.55998999999999999</v>
      </c>
      <c r="I47" s="78">
        <v>0.60825300000000004</v>
      </c>
      <c r="J47" s="78">
        <v>0.64863999999999999</v>
      </c>
      <c r="K47" s="78">
        <v>0.68322099999999997</v>
      </c>
      <c r="L47" s="78">
        <v>0.71790399999999999</v>
      </c>
      <c r="M47" s="78">
        <v>0.75183599999999995</v>
      </c>
      <c r="N47" s="78">
        <v>0.78460700000000005</v>
      </c>
      <c r="O47" s="78">
        <v>0.81460299999999997</v>
      </c>
      <c r="P47" s="78">
        <v>0.84221599999999996</v>
      </c>
      <c r="Q47" s="78">
        <v>0.86781399999999997</v>
      </c>
      <c r="R47" s="78">
        <v>0.89249000000000001</v>
      </c>
      <c r="S47" s="78">
        <v>0.91310500000000006</v>
      </c>
      <c r="T47" s="78">
        <v>0.92999799999999999</v>
      </c>
      <c r="U47" s="78">
        <v>0.94358399999999998</v>
      </c>
      <c r="V47" s="78">
        <v>0.95493099999999997</v>
      </c>
      <c r="W47" s="78">
        <v>0.96525000000000005</v>
      </c>
      <c r="X47" s="78">
        <v>0.97461399999999998</v>
      </c>
      <c r="Y47" s="78">
        <v>0.98313700000000004</v>
      </c>
      <c r="Z47" s="78">
        <v>0.99121499999999996</v>
      </c>
      <c r="AA47" s="78">
        <v>0.99904999999999999</v>
      </c>
      <c r="AB47" s="78">
        <v>1.006704</v>
      </c>
      <c r="AC47" s="78">
        <v>1.0145569999999999</v>
      </c>
      <c r="AD47" s="78">
        <v>1.02274</v>
      </c>
      <c r="AE47" s="78">
        <v>1.0312349999999999</v>
      </c>
      <c r="AF47" s="78">
        <v>1.0398529999999999</v>
      </c>
      <c r="AG47" s="79">
        <v>3.5000000000000003E-2</v>
      </c>
    </row>
    <row r="48" spans="1:33" x14ac:dyDescent="0.25">
      <c r="A48" s="76" t="s">
        <v>48</v>
      </c>
      <c r="B48" s="78">
        <v>5.6620999999999998E-2</v>
      </c>
      <c r="C48" s="78">
        <v>5.9357E-2</v>
      </c>
      <c r="D48" s="78">
        <v>6.2274000000000003E-2</v>
      </c>
      <c r="E48" s="78">
        <v>6.5852999999999995E-2</v>
      </c>
      <c r="F48" s="78">
        <v>7.0001999999999995E-2</v>
      </c>
      <c r="G48" s="78">
        <v>7.3370000000000005E-2</v>
      </c>
      <c r="H48" s="78">
        <v>7.6782000000000003E-2</v>
      </c>
      <c r="I48" s="78">
        <v>8.0062999999999995E-2</v>
      </c>
      <c r="J48" s="78">
        <v>8.3082000000000003E-2</v>
      </c>
      <c r="K48" s="78">
        <v>8.5818000000000005E-2</v>
      </c>
      <c r="L48" s="78">
        <v>8.8167999999999996E-2</v>
      </c>
      <c r="M48" s="78">
        <v>9.0322E-2</v>
      </c>
      <c r="N48" s="78">
        <v>9.2219999999999996E-2</v>
      </c>
      <c r="O48" s="78">
        <v>9.3912999999999996E-2</v>
      </c>
      <c r="P48" s="78">
        <v>9.5441999999999999E-2</v>
      </c>
      <c r="Q48" s="78">
        <v>9.6817E-2</v>
      </c>
      <c r="R48" s="78">
        <v>9.8114999999999994E-2</v>
      </c>
      <c r="S48" s="78">
        <v>9.9199999999999997E-2</v>
      </c>
      <c r="T48" s="78">
        <v>0.100082</v>
      </c>
      <c r="U48" s="78">
        <v>0.100787</v>
      </c>
      <c r="V48" s="78">
        <v>0.101354</v>
      </c>
      <c r="W48" s="78">
        <v>0.101797</v>
      </c>
      <c r="X48" s="78">
        <v>0.102114</v>
      </c>
      <c r="Y48" s="78">
        <v>0.10229100000000001</v>
      </c>
      <c r="Z48" s="78">
        <v>0.102379</v>
      </c>
      <c r="AA48" s="78">
        <v>0.102407</v>
      </c>
      <c r="AB48" s="78">
        <v>0.102379</v>
      </c>
      <c r="AC48" s="78">
        <v>0.102339</v>
      </c>
      <c r="AD48" s="78">
        <v>0.102302</v>
      </c>
      <c r="AE48" s="78">
        <v>0.10226399999999999</v>
      </c>
      <c r="AF48" s="78">
        <v>0.102228</v>
      </c>
      <c r="AG48" s="79">
        <v>1.9E-2</v>
      </c>
    </row>
    <row r="49" spans="1:33" x14ac:dyDescent="0.25">
      <c r="A49" s="76" t="s">
        <v>49</v>
      </c>
      <c r="B49" s="78">
        <v>0.112382</v>
      </c>
      <c r="C49" s="78">
        <v>0.116674</v>
      </c>
      <c r="D49" s="78">
        <v>0.12152399999999999</v>
      </c>
      <c r="E49" s="78">
        <v>0.12669900000000001</v>
      </c>
      <c r="F49" s="78">
        <v>0.132382</v>
      </c>
      <c r="G49" s="78">
        <v>0.137595</v>
      </c>
      <c r="H49" s="78">
        <v>0.142758</v>
      </c>
      <c r="I49" s="78">
        <v>0.14763299999999999</v>
      </c>
      <c r="J49" s="78">
        <v>0.15195700000000001</v>
      </c>
      <c r="K49" s="78">
        <v>0.15584999999999999</v>
      </c>
      <c r="L49" s="78">
        <v>0.15922900000000001</v>
      </c>
      <c r="M49" s="78">
        <v>0.162272</v>
      </c>
      <c r="N49" s="78">
        <v>0.164907</v>
      </c>
      <c r="O49" s="78">
        <v>0.16722600000000001</v>
      </c>
      <c r="P49" s="78">
        <v>0.16932700000000001</v>
      </c>
      <c r="Q49" s="78">
        <v>0.17122799999999999</v>
      </c>
      <c r="R49" s="78">
        <v>0.173036</v>
      </c>
      <c r="S49" s="78">
        <v>0.17452599999999999</v>
      </c>
      <c r="T49" s="78">
        <v>0.17571200000000001</v>
      </c>
      <c r="U49" s="78">
        <v>0.17663799999999999</v>
      </c>
      <c r="V49" s="78">
        <v>0.177366</v>
      </c>
      <c r="W49" s="78">
        <v>0.17791499999999999</v>
      </c>
      <c r="X49" s="78">
        <v>0.17827499999999999</v>
      </c>
      <c r="Y49" s="78">
        <v>0.178427</v>
      </c>
      <c r="Z49" s="78">
        <v>0.178456</v>
      </c>
      <c r="AA49" s="78">
        <v>0.17840200000000001</v>
      </c>
      <c r="AB49" s="78">
        <v>0.17827200000000001</v>
      </c>
      <c r="AC49" s="78">
        <v>0.17813899999999999</v>
      </c>
      <c r="AD49" s="78">
        <v>0.17802799999999999</v>
      </c>
      <c r="AE49" s="78">
        <v>0.17793800000000001</v>
      </c>
      <c r="AF49" s="78">
        <v>0.17787</v>
      </c>
      <c r="AG49" s="79">
        <v>1.4999999999999999E-2</v>
      </c>
    </row>
    <row r="50" spans="1:33" x14ac:dyDescent="0.25">
      <c r="A50" s="76" t="s">
        <v>50</v>
      </c>
      <c r="B50" s="78">
        <v>9.9018999999999996E-2</v>
      </c>
      <c r="C50" s="78">
        <v>9.9167000000000005E-2</v>
      </c>
      <c r="D50" s="78">
        <v>0.10190200000000001</v>
      </c>
      <c r="E50" s="78">
        <v>0.10527599999999999</v>
      </c>
      <c r="F50" s="78">
        <v>0.109736</v>
      </c>
      <c r="G50" s="78">
        <v>0.11442099999999999</v>
      </c>
      <c r="H50" s="78">
        <v>0.119639</v>
      </c>
      <c r="I50" s="78">
        <v>0.12500600000000001</v>
      </c>
      <c r="J50" s="78">
        <v>0.13028200000000001</v>
      </c>
      <c r="K50" s="78">
        <v>0.13563500000000001</v>
      </c>
      <c r="L50" s="78">
        <v>0.14080799999999999</v>
      </c>
      <c r="M50" s="78">
        <v>0.14588699999999999</v>
      </c>
      <c r="N50" s="78">
        <v>0.15076400000000001</v>
      </c>
      <c r="O50" s="78">
        <v>0.155282</v>
      </c>
      <c r="P50" s="78">
        <v>0.15956000000000001</v>
      </c>
      <c r="Q50" s="78">
        <v>0.16361999999999999</v>
      </c>
      <c r="R50" s="78">
        <v>0.16767000000000001</v>
      </c>
      <c r="S50" s="78">
        <v>0.17132500000000001</v>
      </c>
      <c r="T50" s="78">
        <v>0.17460600000000001</v>
      </c>
      <c r="U50" s="78">
        <v>0.17758199999999999</v>
      </c>
      <c r="V50" s="78">
        <v>0.18035599999999999</v>
      </c>
      <c r="W50" s="78">
        <v>0.18296100000000001</v>
      </c>
      <c r="X50" s="78">
        <v>0.18538299999999999</v>
      </c>
      <c r="Y50" s="78">
        <v>0.187667</v>
      </c>
      <c r="Z50" s="78">
        <v>0.18987999999999999</v>
      </c>
      <c r="AA50" s="78">
        <v>0.192186</v>
      </c>
      <c r="AB50" s="78">
        <v>0.194575</v>
      </c>
      <c r="AC50" s="78">
        <v>0.19717599999999999</v>
      </c>
      <c r="AD50" s="78">
        <v>0.20006699999999999</v>
      </c>
      <c r="AE50" s="78">
        <v>0.203324</v>
      </c>
      <c r="AF50" s="78">
        <v>0.20691499999999999</v>
      </c>
      <c r="AG50" s="79">
        <v>2.5999999999999999E-2</v>
      </c>
    </row>
    <row r="51" spans="1:33" x14ac:dyDescent="0.25">
      <c r="A51" s="76" t="s">
        <v>51</v>
      </c>
      <c r="B51" s="78">
        <v>0.37906099999999998</v>
      </c>
      <c r="C51" s="78">
        <v>0.37825300000000001</v>
      </c>
      <c r="D51" s="78">
        <v>0.37848999999999999</v>
      </c>
      <c r="E51" s="78">
        <v>0.38186399999999998</v>
      </c>
      <c r="F51" s="78">
        <v>0.38961699999999999</v>
      </c>
      <c r="G51" s="78">
        <v>0.394206</v>
      </c>
      <c r="H51" s="78">
        <v>0.39999699999999999</v>
      </c>
      <c r="I51" s="78">
        <v>0.40598899999999999</v>
      </c>
      <c r="J51" s="78">
        <v>0.411748</v>
      </c>
      <c r="K51" s="78">
        <v>0.41723100000000002</v>
      </c>
      <c r="L51" s="78">
        <v>0.42179299999999997</v>
      </c>
      <c r="M51" s="78">
        <v>0.42638399999999999</v>
      </c>
      <c r="N51" s="78">
        <v>0.43052800000000002</v>
      </c>
      <c r="O51" s="78">
        <v>0.43446299999999999</v>
      </c>
      <c r="P51" s="78">
        <v>0.438253</v>
      </c>
      <c r="Q51" s="78">
        <v>0.44186199999999998</v>
      </c>
      <c r="R51" s="78">
        <v>0.445548</v>
      </c>
      <c r="S51" s="78">
        <v>0.44861400000000001</v>
      </c>
      <c r="T51" s="78">
        <v>0.451048</v>
      </c>
      <c r="U51" s="78">
        <v>0.452926</v>
      </c>
      <c r="V51" s="78">
        <v>0.45439000000000002</v>
      </c>
      <c r="W51" s="78">
        <v>0.45544699999999999</v>
      </c>
      <c r="X51" s="78">
        <v>0.45608599999999999</v>
      </c>
      <c r="Y51" s="78">
        <v>0.45621600000000001</v>
      </c>
      <c r="Z51" s="78">
        <v>0.45604099999999997</v>
      </c>
      <c r="AA51" s="78">
        <v>0.45567999999999997</v>
      </c>
      <c r="AB51" s="78">
        <v>0.45513599999999999</v>
      </c>
      <c r="AC51" s="78">
        <v>0.45459300000000002</v>
      </c>
      <c r="AD51" s="78">
        <v>0.45410699999999998</v>
      </c>
      <c r="AE51" s="78">
        <v>0.45365299999999997</v>
      </c>
      <c r="AF51" s="78">
        <v>0.453239</v>
      </c>
      <c r="AG51" s="79">
        <v>6.0000000000000001E-3</v>
      </c>
    </row>
    <row r="52" spans="1:33" x14ac:dyDescent="0.25">
      <c r="A52" s="76" t="s">
        <v>52</v>
      </c>
      <c r="B52" s="78">
        <v>0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  <c r="I52" s="78">
        <v>0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  <c r="R52" s="78">
        <v>0</v>
      </c>
      <c r="S52" s="78">
        <v>0</v>
      </c>
      <c r="T52" s="78">
        <v>0</v>
      </c>
      <c r="U52" s="78">
        <v>0</v>
      </c>
      <c r="V52" s="78">
        <v>0</v>
      </c>
      <c r="W52" s="78">
        <v>0</v>
      </c>
      <c r="X52" s="78">
        <v>0</v>
      </c>
      <c r="Y52" s="78">
        <v>0</v>
      </c>
      <c r="Z52" s="78">
        <v>0</v>
      </c>
      <c r="AA52" s="78">
        <v>0</v>
      </c>
      <c r="AB52" s="78">
        <v>0</v>
      </c>
      <c r="AC52" s="78">
        <v>0</v>
      </c>
      <c r="AD52" s="78">
        <v>0</v>
      </c>
      <c r="AE52" s="78">
        <v>0</v>
      </c>
      <c r="AF52" s="78">
        <v>0</v>
      </c>
      <c r="AG52" s="78" t="s">
        <v>43</v>
      </c>
    </row>
    <row r="53" spans="1:33" x14ac:dyDescent="0.25">
      <c r="A53" s="76" t="s">
        <v>53</v>
      </c>
      <c r="B53" s="78">
        <v>0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  <c r="W53" s="78">
        <v>0</v>
      </c>
      <c r="X53" s="78">
        <v>0</v>
      </c>
      <c r="Y53" s="78">
        <v>0</v>
      </c>
      <c r="Z53" s="78">
        <v>0</v>
      </c>
      <c r="AA53" s="78">
        <v>0</v>
      </c>
      <c r="AB53" s="78">
        <v>0</v>
      </c>
      <c r="AC53" s="78">
        <v>0</v>
      </c>
      <c r="AD53" s="78">
        <v>0</v>
      </c>
      <c r="AE53" s="78">
        <v>0</v>
      </c>
      <c r="AF53" s="78">
        <v>0</v>
      </c>
      <c r="AG53" s="78" t="s">
        <v>43</v>
      </c>
    </row>
    <row r="54" spans="1:33" x14ac:dyDescent="0.25">
      <c r="A54" s="76" t="s">
        <v>54</v>
      </c>
      <c r="B54" s="78">
        <v>0</v>
      </c>
      <c r="C54" s="78">
        <v>0</v>
      </c>
      <c r="D54" s="78">
        <v>0</v>
      </c>
      <c r="E54" s="78">
        <v>0</v>
      </c>
      <c r="F54" s="78">
        <v>0</v>
      </c>
      <c r="G54" s="78">
        <v>2.0869999999999999E-3</v>
      </c>
      <c r="H54" s="78">
        <v>4.3299999999999996E-3</v>
      </c>
      <c r="I54" s="78">
        <v>5.0150000000000004E-3</v>
      </c>
      <c r="J54" s="78">
        <v>6.6020000000000002E-3</v>
      </c>
      <c r="K54" s="78">
        <v>8.1119999999999994E-3</v>
      </c>
      <c r="L54" s="78">
        <v>9.7199999999999995E-3</v>
      </c>
      <c r="M54" s="78">
        <v>1.1611E-2</v>
      </c>
      <c r="N54" s="78">
        <v>1.3578E-2</v>
      </c>
      <c r="O54" s="78">
        <v>1.5507999999999999E-2</v>
      </c>
      <c r="P54" s="78">
        <v>1.7991E-2</v>
      </c>
      <c r="Q54" s="78">
        <v>2.0601000000000001E-2</v>
      </c>
      <c r="R54" s="78">
        <v>2.3157000000000001E-2</v>
      </c>
      <c r="S54" s="78">
        <v>2.5732999999999999E-2</v>
      </c>
      <c r="T54" s="78">
        <v>2.8243000000000001E-2</v>
      </c>
      <c r="U54" s="78">
        <v>3.0688E-2</v>
      </c>
      <c r="V54" s="78">
        <v>3.3064999999999997E-2</v>
      </c>
      <c r="W54" s="78">
        <v>3.5347999999999997E-2</v>
      </c>
      <c r="X54" s="78">
        <v>3.7523000000000001E-2</v>
      </c>
      <c r="Y54" s="78">
        <v>3.9594999999999998E-2</v>
      </c>
      <c r="Z54" s="78">
        <v>4.1588E-2</v>
      </c>
      <c r="AA54" s="78">
        <v>4.3529999999999999E-2</v>
      </c>
      <c r="AB54" s="78">
        <v>4.5440000000000001E-2</v>
      </c>
      <c r="AC54" s="78">
        <v>4.7359999999999999E-2</v>
      </c>
      <c r="AD54" s="78">
        <v>4.9324E-2</v>
      </c>
      <c r="AE54" s="78">
        <v>5.1358000000000001E-2</v>
      </c>
      <c r="AF54" s="78">
        <v>5.3487E-2</v>
      </c>
      <c r="AG54" s="78" t="s">
        <v>43</v>
      </c>
    </row>
    <row r="55" spans="1:33" x14ac:dyDescent="0.25">
      <c r="A55" s="76" t="s">
        <v>61</v>
      </c>
      <c r="B55" s="78">
        <v>7.7157549999999997</v>
      </c>
      <c r="C55" s="78">
        <v>8.7809299999999997</v>
      </c>
      <c r="D55" s="78">
        <v>9.5442800000000005</v>
      </c>
      <c r="E55" s="78">
        <v>10.372566000000001</v>
      </c>
      <c r="F55" s="78">
        <v>11.267632000000001</v>
      </c>
      <c r="G55" s="78">
        <v>12.133357</v>
      </c>
      <c r="H55" s="78">
        <v>12.997821999999999</v>
      </c>
      <c r="I55" s="78">
        <v>13.837301</v>
      </c>
      <c r="J55" s="78">
        <v>14.583318999999999</v>
      </c>
      <c r="K55" s="78">
        <v>15.267757</v>
      </c>
      <c r="L55" s="78">
        <v>15.867163</v>
      </c>
      <c r="M55" s="78">
        <v>16.415711999999999</v>
      </c>
      <c r="N55" s="78">
        <v>16.909731000000001</v>
      </c>
      <c r="O55" s="78">
        <v>17.357047999999999</v>
      </c>
      <c r="P55" s="78">
        <v>17.785225000000001</v>
      </c>
      <c r="Q55" s="78">
        <v>18.173660000000002</v>
      </c>
      <c r="R55" s="78">
        <v>18.535392999999999</v>
      </c>
      <c r="S55" s="78">
        <v>18.871641</v>
      </c>
      <c r="T55" s="78">
        <v>19.163851000000001</v>
      </c>
      <c r="U55" s="78">
        <v>19.411764000000002</v>
      </c>
      <c r="V55" s="78">
        <v>19.623615000000001</v>
      </c>
      <c r="W55" s="78">
        <v>19.802382000000001</v>
      </c>
      <c r="X55" s="78">
        <v>19.947588</v>
      </c>
      <c r="Y55" s="78">
        <v>20.058661000000001</v>
      </c>
      <c r="Z55" s="78">
        <v>20.145264000000001</v>
      </c>
      <c r="AA55" s="78">
        <v>20.214524999999998</v>
      </c>
      <c r="AB55" s="78">
        <v>20.268778000000001</v>
      </c>
      <c r="AC55" s="78">
        <v>20.317737999999999</v>
      </c>
      <c r="AD55" s="78">
        <v>20.364602999999999</v>
      </c>
      <c r="AE55" s="78">
        <v>20.408493</v>
      </c>
      <c r="AF55" s="78">
        <v>20.481905000000001</v>
      </c>
      <c r="AG55" s="79">
        <v>0.03</v>
      </c>
    </row>
    <row r="56" spans="1:33" x14ac:dyDescent="0.25">
      <c r="A56" s="76"/>
    </row>
    <row r="57" spans="1:33" ht="14.4" x14ac:dyDescent="0.3">
      <c r="A57" s="77" t="s">
        <v>62</v>
      </c>
      <c r="B57" s="80">
        <v>94.966705000000005</v>
      </c>
      <c r="C57" s="80">
        <v>95.156127999999995</v>
      </c>
      <c r="D57" s="80">
        <v>95.759842000000006</v>
      </c>
      <c r="E57" s="80">
        <v>96.684089999999998</v>
      </c>
      <c r="F57" s="80">
        <v>97.929764000000006</v>
      </c>
      <c r="G57" s="80">
        <v>99.325500000000005</v>
      </c>
      <c r="H57" s="80">
        <v>100.78385900000001</v>
      </c>
      <c r="I57" s="80">
        <v>102.192734</v>
      </c>
      <c r="J57" s="80">
        <v>103.38674899999999</v>
      </c>
      <c r="K57" s="80">
        <v>104.446899</v>
      </c>
      <c r="L57" s="80">
        <v>105.350441</v>
      </c>
      <c r="M57" s="80">
        <v>106.16158299999999</v>
      </c>
      <c r="N57" s="80">
        <v>106.836411</v>
      </c>
      <c r="O57" s="80">
        <v>107.434601</v>
      </c>
      <c r="P57" s="80">
        <v>108.003578</v>
      </c>
      <c r="Q57" s="80">
        <v>108.547005</v>
      </c>
      <c r="R57" s="80">
        <v>109.113625</v>
      </c>
      <c r="S57" s="80">
        <v>109.559128</v>
      </c>
      <c r="T57" s="80">
        <v>109.88417800000001</v>
      </c>
      <c r="U57" s="80">
        <v>110.107758</v>
      </c>
      <c r="V57" s="80">
        <v>110.259415</v>
      </c>
      <c r="W57" s="80">
        <v>110.344696</v>
      </c>
      <c r="X57" s="80">
        <v>110.35097500000001</v>
      </c>
      <c r="Y57" s="80">
        <v>110.26161999999999</v>
      </c>
      <c r="Z57" s="80">
        <v>110.12396200000001</v>
      </c>
      <c r="AA57" s="80">
        <v>109.95562700000001</v>
      </c>
      <c r="AB57" s="80">
        <v>109.75702699999999</v>
      </c>
      <c r="AC57" s="80">
        <v>109.569473</v>
      </c>
      <c r="AD57" s="80">
        <v>109.40567799999999</v>
      </c>
      <c r="AE57" s="80">
        <v>109.25804100000001</v>
      </c>
      <c r="AF57" s="80">
        <v>109.126549</v>
      </c>
      <c r="AG57" s="81">
        <v>5.0000000000000001E-3</v>
      </c>
    </row>
    <row r="58" spans="1:33" x14ac:dyDescent="0.25">
      <c r="A58" s="76"/>
    </row>
    <row r="59" spans="1:33" ht="14.4" x14ac:dyDescent="0.3">
      <c r="A59" s="77" t="s">
        <v>63</v>
      </c>
      <c r="B59" s="80">
        <v>224.86085499999999</v>
      </c>
      <c r="C59" s="80">
        <v>223.80424500000001</v>
      </c>
      <c r="D59" s="80">
        <v>223.87898300000001</v>
      </c>
      <c r="E59" s="80">
        <v>224.46902499999999</v>
      </c>
      <c r="F59" s="80">
        <v>225.82839999999999</v>
      </c>
      <c r="G59" s="80">
        <v>227.64355499999999</v>
      </c>
      <c r="H59" s="80">
        <v>229.87245200000001</v>
      </c>
      <c r="I59" s="80">
        <v>232.30059800000001</v>
      </c>
      <c r="J59" s="80">
        <v>234.533737</v>
      </c>
      <c r="K59" s="80">
        <v>236.91506999999999</v>
      </c>
      <c r="L59" s="80">
        <v>239.33038300000001</v>
      </c>
      <c r="M59" s="80">
        <v>241.70620700000001</v>
      </c>
      <c r="N59" s="80">
        <v>243.94605999999999</v>
      </c>
      <c r="O59" s="80">
        <v>246.15460200000001</v>
      </c>
      <c r="P59" s="80">
        <v>248.40948499999999</v>
      </c>
      <c r="Q59" s="80">
        <v>250.742279</v>
      </c>
      <c r="R59" s="80">
        <v>253.112549</v>
      </c>
      <c r="S59" s="80">
        <v>255.486694</v>
      </c>
      <c r="T59" s="80">
        <v>257.83386200000001</v>
      </c>
      <c r="U59" s="80">
        <v>260.14154100000002</v>
      </c>
      <c r="V59" s="80">
        <v>262.43164100000001</v>
      </c>
      <c r="W59" s="80">
        <v>264.68746900000002</v>
      </c>
      <c r="X59" s="80">
        <v>266.85220299999997</v>
      </c>
      <c r="Y59" s="80">
        <v>268.90371699999997</v>
      </c>
      <c r="Z59" s="80">
        <v>270.924622</v>
      </c>
      <c r="AA59" s="80">
        <v>272.93450899999999</v>
      </c>
      <c r="AB59" s="80">
        <v>274.92358400000001</v>
      </c>
      <c r="AC59" s="80">
        <v>276.98284899999999</v>
      </c>
      <c r="AD59" s="80">
        <v>279.13601699999998</v>
      </c>
      <c r="AE59" s="80">
        <v>281.36062600000002</v>
      </c>
      <c r="AF59" s="80">
        <v>283.649902</v>
      </c>
      <c r="AG59" s="81">
        <v>8.0000000000000002E-3</v>
      </c>
    </row>
    <row r="60" spans="1:33" ht="14.4" x14ac:dyDescent="0.3">
      <c r="A60" s="77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1"/>
    </row>
    <row r="61" spans="1:33" ht="14.4" x14ac:dyDescent="0.3">
      <c r="A61" s="77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1"/>
    </row>
    <row r="62" spans="1:33" ht="14.4" x14ac:dyDescent="0.3">
      <c r="A62" s="76" t="s">
        <v>41</v>
      </c>
      <c r="B62" s="78">
        <v>2.1559999999999999E-2</v>
      </c>
      <c r="C62" s="78">
        <v>2.2578000000000001E-2</v>
      </c>
      <c r="D62" s="78">
        <v>2.3348000000000001E-2</v>
      </c>
      <c r="E62" s="78">
        <v>2.4176E-2</v>
      </c>
      <c r="F62" s="78">
        <v>2.5264999999999999E-2</v>
      </c>
      <c r="G62" s="78">
        <v>2.7137999999999999E-2</v>
      </c>
      <c r="H62" s="78">
        <v>2.9278999999999999E-2</v>
      </c>
      <c r="I62" s="78">
        <v>3.4895000000000002E-2</v>
      </c>
      <c r="J62" s="78">
        <v>4.2464000000000002E-2</v>
      </c>
      <c r="K62" s="78">
        <v>4.9919999999999999E-2</v>
      </c>
      <c r="L62" s="78">
        <v>6.3594999999999999E-2</v>
      </c>
      <c r="M62" s="78">
        <v>7.9867999999999995E-2</v>
      </c>
      <c r="N62" s="78">
        <v>0.100744</v>
      </c>
      <c r="O62" s="78">
        <v>0.12659300000000001</v>
      </c>
      <c r="P62" s="78">
        <v>0.15737200000000001</v>
      </c>
      <c r="Q62" s="78">
        <v>0.20099400000000001</v>
      </c>
      <c r="R62" s="78">
        <v>0.24556800000000001</v>
      </c>
      <c r="S62" s="78">
        <v>0.29588599999999998</v>
      </c>
      <c r="T62" s="78">
        <v>0.35180099999999997</v>
      </c>
      <c r="U62" s="78">
        <v>0.413634</v>
      </c>
      <c r="V62" s="78">
        <v>0.48186299999999999</v>
      </c>
      <c r="W62" s="78">
        <v>0.55573399999999995</v>
      </c>
      <c r="X62" s="78">
        <v>0.63534000000000002</v>
      </c>
      <c r="Y62" s="78">
        <v>0.72151500000000002</v>
      </c>
      <c r="Z62" s="78">
        <v>0.81509600000000004</v>
      </c>
      <c r="AA62" s="78">
        <v>0.91374200000000005</v>
      </c>
      <c r="AB62" s="78">
        <v>1.016948</v>
      </c>
      <c r="AC62" s="78">
        <v>1.1254360000000001</v>
      </c>
      <c r="AD62" s="78">
        <v>1.239511</v>
      </c>
      <c r="AE62" s="78">
        <v>1.359572</v>
      </c>
      <c r="AF62" s="78">
        <v>1.4861949999999999</v>
      </c>
      <c r="AG62" s="81"/>
    </row>
    <row r="63" spans="1:33" ht="14.4" x14ac:dyDescent="0.3">
      <c r="A63" s="76" t="s">
        <v>42</v>
      </c>
      <c r="B63" s="78">
        <v>0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  <c r="I63" s="78">
        <v>0</v>
      </c>
      <c r="J63" s="78">
        <v>0</v>
      </c>
      <c r="K63" s="78">
        <v>0</v>
      </c>
      <c r="L63" s="78">
        <v>0</v>
      </c>
      <c r="M63" s="78">
        <v>0</v>
      </c>
      <c r="N63" s="78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8">
        <v>0</v>
      </c>
      <c r="W63" s="78">
        <v>0</v>
      </c>
      <c r="X63" s="78">
        <v>0</v>
      </c>
      <c r="Y63" s="78">
        <v>9.9999999999999995E-7</v>
      </c>
      <c r="Z63" s="78">
        <v>9.9999999999999995E-7</v>
      </c>
      <c r="AA63" s="78">
        <v>9.9999999999999995E-7</v>
      </c>
      <c r="AB63" s="78">
        <v>9.9999999999999995E-7</v>
      </c>
      <c r="AC63" s="78">
        <v>1.9999999999999999E-6</v>
      </c>
      <c r="AD63" s="78">
        <v>1.9999999999999999E-6</v>
      </c>
      <c r="AE63" s="78">
        <v>3.0000000000000001E-6</v>
      </c>
      <c r="AF63" s="78">
        <v>3.9999999999999998E-6</v>
      </c>
      <c r="AG63" s="81"/>
    </row>
    <row r="64" spans="1:33" ht="14.4" x14ac:dyDescent="0.3">
      <c r="A64" s="76" t="s">
        <v>44</v>
      </c>
      <c r="B64" s="78">
        <v>0</v>
      </c>
      <c r="C64" s="78">
        <v>0</v>
      </c>
      <c r="D64" s="78">
        <v>0</v>
      </c>
      <c r="E64" s="78">
        <v>0</v>
      </c>
      <c r="F64" s="78">
        <v>7.8812999999999994E-2</v>
      </c>
      <c r="G64" s="78">
        <v>0.15379200000000001</v>
      </c>
      <c r="H64" s="78">
        <v>0.20571300000000001</v>
      </c>
      <c r="I64" s="78">
        <v>0.284939</v>
      </c>
      <c r="J64" s="78">
        <v>0.37104900000000002</v>
      </c>
      <c r="K64" s="78">
        <v>0.44308900000000001</v>
      </c>
      <c r="L64" s="78">
        <v>0.50928200000000001</v>
      </c>
      <c r="M64" s="78">
        <v>0.647845</v>
      </c>
      <c r="N64" s="78">
        <v>0.78932599999999997</v>
      </c>
      <c r="O64" s="78">
        <v>0.92322400000000004</v>
      </c>
      <c r="P64" s="78">
        <v>1.048924</v>
      </c>
      <c r="Q64" s="78">
        <v>1.229052</v>
      </c>
      <c r="R64" s="78">
        <v>1.3707469999999999</v>
      </c>
      <c r="S64" s="78">
        <v>1.519712</v>
      </c>
      <c r="T64" s="78">
        <v>1.6703779999999999</v>
      </c>
      <c r="U64" s="78">
        <v>1.8218319999999999</v>
      </c>
      <c r="V64" s="78">
        <v>1.9711650000000001</v>
      </c>
      <c r="W64" s="78">
        <v>2.115157</v>
      </c>
      <c r="X64" s="78">
        <v>2.2568290000000002</v>
      </c>
      <c r="Y64" s="78">
        <v>2.395642</v>
      </c>
      <c r="Z64" s="78">
        <v>2.5332159999999999</v>
      </c>
      <c r="AA64" s="78">
        <v>2.6696610000000001</v>
      </c>
      <c r="AB64" s="78">
        <v>2.8037380000000001</v>
      </c>
      <c r="AC64" s="78">
        <v>2.936083</v>
      </c>
      <c r="AD64" s="78">
        <v>3.0665640000000001</v>
      </c>
      <c r="AE64" s="78">
        <v>3.195227</v>
      </c>
      <c r="AF64" s="78">
        <v>3.3222719999999999</v>
      </c>
      <c r="AG64" s="81"/>
    </row>
    <row r="65" spans="1:33" ht="14.4" x14ac:dyDescent="0.3">
      <c r="A65" s="76" t="s">
        <v>45</v>
      </c>
      <c r="B65" s="78">
        <v>0</v>
      </c>
      <c r="C65" s="78">
        <v>3.5569999999999998E-3</v>
      </c>
      <c r="D65" s="78">
        <v>7.2059999999999997E-3</v>
      </c>
      <c r="E65" s="78">
        <v>1.0543E-2</v>
      </c>
      <c r="F65" s="78">
        <v>3.3211999999999998E-2</v>
      </c>
      <c r="G65" s="78">
        <v>6.7252000000000006E-2</v>
      </c>
      <c r="H65" s="78">
        <v>0.124567</v>
      </c>
      <c r="I65" s="78">
        <v>0.173014</v>
      </c>
      <c r="J65" s="78">
        <v>0.235268</v>
      </c>
      <c r="K65" s="78">
        <v>0.27504800000000001</v>
      </c>
      <c r="L65" s="78">
        <v>0.33812900000000001</v>
      </c>
      <c r="M65" s="78">
        <v>0.39237100000000003</v>
      </c>
      <c r="N65" s="78">
        <v>0.443189</v>
      </c>
      <c r="O65" s="78">
        <v>0.49299700000000002</v>
      </c>
      <c r="P65" s="78">
        <v>0.54392099999999999</v>
      </c>
      <c r="Q65" s="78">
        <v>0.60612699999999997</v>
      </c>
      <c r="R65" s="78">
        <v>0.67320899999999995</v>
      </c>
      <c r="S65" s="78">
        <v>0.71460400000000002</v>
      </c>
      <c r="T65" s="78">
        <v>0.76036400000000004</v>
      </c>
      <c r="U65" s="78">
        <v>0.81123000000000001</v>
      </c>
      <c r="V65" s="78">
        <v>0.86807800000000002</v>
      </c>
      <c r="W65" s="78">
        <v>0.93729499999999999</v>
      </c>
      <c r="X65" s="78">
        <v>1.0027429999999999</v>
      </c>
      <c r="Y65" s="78">
        <v>1.0691630000000001</v>
      </c>
      <c r="Z65" s="78">
        <v>1.1324479999999999</v>
      </c>
      <c r="AA65" s="78">
        <v>1.189181</v>
      </c>
      <c r="AB65" s="78">
        <v>1.2479990000000001</v>
      </c>
      <c r="AC65" s="78">
        <v>1.3094680000000001</v>
      </c>
      <c r="AD65" s="78">
        <v>1.373872</v>
      </c>
      <c r="AE65" s="78">
        <v>1.4420329999999999</v>
      </c>
      <c r="AF65" s="78">
        <v>1.515169</v>
      </c>
      <c r="AG65" s="81"/>
    </row>
    <row r="66" spans="1:33" s="85" customFormat="1" ht="14.4" x14ac:dyDescent="0.3">
      <c r="A66" s="82" t="s">
        <v>64</v>
      </c>
      <c r="B66" s="83">
        <v>2.1559999999999999E-2</v>
      </c>
      <c r="C66" s="83">
        <v>2.6134999999999999E-2</v>
      </c>
      <c r="D66" s="83">
        <v>3.0554000000000001E-2</v>
      </c>
      <c r="E66" s="83">
        <v>3.4719E-2</v>
      </c>
      <c r="F66" s="83">
        <v>0.13729</v>
      </c>
      <c r="G66" s="83">
        <v>0.24818200000000001</v>
      </c>
      <c r="H66" s="83">
        <v>0.35955900000000002</v>
      </c>
      <c r="I66" s="83">
        <v>0.49284800000000001</v>
      </c>
      <c r="J66" s="83">
        <v>0.64878100000000005</v>
      </c>
      <c r="K66" s="83">
        <v>0.76805699999999999</v>
      </c>
      <c r="L66" s="83">
        <v>0.91100599999999998</v>
      </c>
      <c r="M66" s="83">
        <v>1.1200840000000001</v>
      </c>
      <c r="N66" s="83">
        <v>1.333259</v>
      </c>
      <c r="O66" s="83">
        <v>1.5428139999999999</v>
      </c>
      <c r="P66" s="83">
        <v>1.7502169999999999</v>
      </c>
      <c r="Q66" s="83">
        <v>2.0361729999999998</v>
      </c>
      <c r="R66" s="83">
        <v>2.2895240000000001</v>
      </c>
      <c r="S66" s="83">
        <v>2.5302020000000001</v>
      </c>
      <c r="T66" s="83">
        <v>2.782543</v>
      </c>
      <c r="U66" s="83">
        <v>3.0466959999999998</v>
      </c>
      <c r="V66" s="83">
        <v>3.3211059999999999</v>
      </c>
      <c r="W66" s="83">
        <v>3.6081859999999999</v>
      </c>
      <c r="X66" s="83">
        <v>3.8949120000000002</v>
      </c>
      <c r="Y66" s="83">
        <v>4.1863210000000004</v>
      </c>
      <c r="Z66" s="83">
        <v>4.4807610000000002</v>
      </c>
      <c r="AA66" s="83">
        <v>4.7725850000000003</v>
      </c>
      <c r="AB66" s="83">
        <v>5.0686859999999996</v>
      </c>
      <c r="AC66" s="83">
        <v>5.3709889999999998</v>
      </c>
      <c r="AD66" s="83">
        <v>5.6799489999999997</v>
      </c>
      <c r="AE66" s="83">
        <v>5.9968349999999999</v>
      </c>
      <c r="AF66" s="83">
        <v>6.3236400000000001</v>
      </c>
      <c r="AG66" s="84"/>
    </row>
    <row r="67" spans="1:33" s="85" customFormat="1" ht="14.4" x14ac:dyDescent="0.3">
      <c r="A67" s="82" t="s">
        <v>65</v>
      </c>
      <c r="B67" s="86">
        <v>21560</v>
      </c>
      <c r="C67" s="86">
        <v>26135</v>
      </c>
      <c r="D67" s="86">
        <v>30554</v>
      </c>
      <c r="E67" s="86">
        <v>34719</v>
      </c>
      <c r="F67" s="86">
        <v>137290</v>
      </c>
      <c r="G67" s="86">
        <v>248182</v>
      </c>
      <c r="H67" s="86">
        <v>359559</v>
      </c>
      <c r="I67" s="86">
        <v>492848</v>
      </c>
      <c r="J67" s="86">
        <v>648781</v>
      </c>
      <c r="K67" s="86">
        <v>768057</v>
      </c>
      <c r="L67" s="86">
        <v>911006</v>
      </c>
      <c r="M67" s="86">
        <v>1120084</v>
      </c>
      <c r="N67" s="86">
        <v>1333259</v>
      </c>
      <c r="O67" s="86">
        <v>1542814</v>
      </c>
      <c r="P67" s="86">
        <v>1750217</v>
      </c>
      <c r="Q67" s="86">
        <v>2036173</v>
      </c>
      <c r="R67" s="86">
        <v>2289524</v>
      </c>
      <c r="S67" s="86">
        <v>2530202</v>
      </c>
      <c r="T67" s="86">
        <v>2782543</v>
      </c>
      <c r="U67" s="86">
        <v>3046696</v>
      </c>
      <c r="V67" s="86">
        <v>3321106</v>
      </c>
      <c r="W67" s="86">
        <v>3608186</v>
      </c>
      <c r="X67" s="86">
        <v>3894912</v>
      </c>
      <c r="Y67" s="86">
        <v>4186321</v>
      </c>
      <c r="Z67" s="86">
        <v>4480761</v>
      </c>
      <c r="AA67" s="86">
        <v>4772585</v>
      </c>
      <c r="AB67" s="86">
        <v>5068686</v>
      </c>
      <c r="AC67" s="86">
        <v>5370989</v>
      </c>
      <c r="AD67" s="86">
        <v>5679949</v>
      </c>
      <c r="AE67" s="86">
        <v>5996835</v>
      </c>
      <c r="AF67" s="86">
        <v>6323640</v>
      </c>
      <c r="AG67" s="84"/>
    </row>
    <row r="68" spans="1:33" x14ac:dyDescent="0.25">
      <c r="A68" s="76"/>
    </row>
    <row r="69" spans="1:33" s="87" customFormat="1" ht="15" customHeight="1" x14ac:dyDescent="0.25">
      <c r="A69" s="314" t="s">
        <v>66</v>
      </c>
      <c r="B69" s="314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</row>
    <row r="70" spans="1:33" ht="15" customHeight="1" x14ac:dyDescent="0.25">
      <c r="A70" s="311" t="s">
        <v>67</v>
      </c>
      <c r="B70" s="311"/>
      <c r="C70" s="311"/>
      <c r="D70" s="311"/>
      <c r="E70" s="311"/>
      <c r="F70" s="311"/>
      <c r="G70" s="311"/>
      <c r="H70" s="311"/>
      <c r="I70" s="311"/>
      <c r="J70" s="311"/>
      <c r="K70" s="311"/>
      <c r="L70" s="311"/>
      <c r="M70" s="311"/>
      <c r="N70" s="311"/>
      <c r="O70" s="311"/>
      <c r="P70" s="311"/>
      <c r="Q70" s="311"/>
      <c r="R70" s="311"/>
      <c r="S70" s="311"/>
      <c r="T70" s="311"/>
      <c r="U70" s="311"/>
      <c r="V70" s="311"/>
      <c r="W70" s="311"/>
      <c r="X70" s="311"/>
      <c r="Y70" s="311"/>
      <c r="Z70" s="311"/>
      <c r="AA70" s="311"/>
      <c r="AB70" s="311"/>
      <c r="AC70" s="311"/>
      <c r="AD70" s="311"/>
      <c r="AE70" s="311"/>
      <c r="AF70" s="311"/>
      <c r="AG70" s="311"/>
    </row>
    <row r="71" spans="1:33" ht="15" customHeight="1" x14ac:dyDescent="0.25">
      <c r="A71" s="311" t="s">
        <v>68</v>
      </c>
      <c r="B71" s="311"/>
      <c r="C71" s="311"/>
      <c r="D71" s="311"/>
      <c r="E71" s="311"/>
      <c r="F71" s="311"/>
      <c r="G71" s="311"/>
      <c r="H71" s="311"/>
      <c r="I71" s="311"/>
      <c r="J71" s="311"/>
      <c r="K71" s="311"/>
      <c r="L71" s="311"/>
      <c r="M71" s="311"/>
      <c r="N71" s="311"/>
      <c r="O71" s="311"/>
      <c r="P71" s="311"/>
      <c r="Q71" s="311"/>
      <c r="R71" s="311"/>
      <c r="S71" s="311"/>
      <c r="T71" s="311"/>
      <c r="U71" s="311"/>
      <c r="V71" s="311"/>
      <c r="W71" s="311"/>
      <c r="X71" s="311"/>
      <c r="Y71" s="311"/>
      <c r="Z71" s="311"/>
      <c r="AA71" s="311"/>
      <c r="AB71" s="311"/>
      <c r="AC71" s="311"/>
      <c r="AD71" s="311"/>
      <c r="AE71" s="311"/>
      <c r="AF71" s="311"/>
      <c r="AG71" s="311"/>
    </row>
    <row r="72" spans="1:33" ht="15" customHeight="1" x14ac:dyDescent="0.25">
      <c r="A72" s="311" t="s">
        <v>69</v>
      </c>
      <c r="B72" s="311"/>
      <c r="C72" s="311"/>
      <c r="D72" s="311"/>
      <c r="E72" s="311"/>
      <c r="F72" s="311"/>
      <c r="G72" s="311"/>
      <c r="H72" s="311"/>
      <c r="I72" s="311"/>
      <c r="J72" s="311"/>
      <c r="K72" s="311"/>
      <c r="L72" s="311"/>
      <c r="M72" s="311"/>
      <c r="N72" s="311"/>
      <c r="O72" s="311"/>
      <c r="P72" s="311"/>
      <c r="Q72" s="311"/>
      <c r="R72" s="311"/>
      <c r="S72" s="311"/>
      <c r="T72" s="311"/>
      <c r="U72" s="311"/>
      <c r="V72" s="311"/>
      <c r="W72" s="311"/>
      <c r="X72" s="311"/>
      <c r="Y72" s="311"/>
      <c r="Z72" s="311"/>
      <c r="AA72" s="311"/>
      <c r="AB72" s="311"/>
      <c r="AC72" s="311"/>
      <c r="AD72" s="311"/>
      <c r="AE72" s="311"/>
      <c r="AF72" s="311"/>
      <c r="AG72" s="311"/>
    </row>
    <row r="73" spans="1:33" ht="15" customHeight="1" x14ac:dyDescent="0.25">
      <c r="A73" s="311" t="s">
        <v>70</v>
      </c>
      <c r="B73" s="311"/>
      <c r="C73" s="311"/>
      <c r="D73" s="311"/>
      <c r="E73" s="311"/>
      <c r="F73" s="311"/>
      <c r="G73" s="311"/>
      <c r="H73" s="311"/>
      <c r="I73" s="311"/>
      <c r="J73" s="311"/>
      <c r="K73" s="311"/>
      <c r="L73" s="311"/>
      <c r="M73" s="311"/>
      <c r="N73" s="311"/>
      <c r="O73" s="311"/>
      <c r="P73" s="311"/>
      <c r="Q73" s="311"/>
      <c r="R73" s="311"/>
      <c r="S73" s="311"/>
      <c r="T73" s="311"/>
      <c r="U73" s="311"/>
      <c r="V73" s="311"/>
      <c r="W73" s="311"/>
      <c r="X73" s="311"/>
      <c r="Y73" s="311"/>
      <c r="Z73" s="311"/>
      <c r="AA73" s="311"/>
      <c r="AB73" s="311"/>
      <c r="AC73" s="311"/>
      <c r="AD73" s="311"/>
      <c r="AE73" s="311"/>
      <c r="AF73" s="311"/>
      <c r="AG73" s="311"/>
    </row>
    <row r="74" spans="1:33" ht="15" customHeight="1" x14ac:dyDescent="0.25">
      <c r="A74" s="311" t="s">
        <v>71</v>
      </c>
      <c r="B74" s="311"/>
      <c r="C74" s="311"/>
      <c r="D74" s="311"/>
      <c r="E74" s="311"/>
      <c r="F74" s="311"/>
      <c r="G74" s="311"/>
      <c r="H74" s="311"/>
      <c r="I74" s="311"/>
      <c r="J74" s="311"/>
      <c r="K74" s="311"/>
      <c r="L74" s="311"/>
      <c r="M74" s="311"/>
      <c r="N74" s="311"/>
      <c r="O74" s="311"/>
      <c r="P74" s="311"/>
      <c r="Q74" s="311"/>
      <c r="R74" s="311"/>
      <c r="S74" s="311"/>
      <c r="T74" s="311"/>
      <c r="U74" s="311"/>
      <c r="V74" s="311"/>
      <c r="W74" s="311"/>
      <c r="X74" s="311"/>
      <c r="Y74" s="311"/>
      <c r="Z74" s="311"/>
      <c r="AA74" s="311"/>
      <c r="AB74" s="311"/>
      <c r="AC74" s="311"/>
      <c r="AD74" s="311"/>
      <c r="AE74" s="311"/>
      <c r="AF74" s="311"/>
      <c r="AG74" s="311"/>
    </row>
    <row r="75" spans="1:33" ht="15" customHeight="1" x14ac:dyDescent="0.25">
      <c r="A75" s="311" t="s">
        <v>72</v>
      </c>
      <c r="B75" s="311"/>
      <c r="C75" s="311"/>
      <c r="D75" s="311"/>
      <c r="E75" s="311"/>
      <c r="F75" s="311"/>
      <c r="G75" s="311"/>
      <c r="H75" s="311"/>
      <c r="I75" s="311"/>
      <c r="J75" s="311"/>
      <c r="K75" s="311"/>
      <c r="L75" s="311"/>
      <c r="M75" s="311"/>
      <c r="N75" s="311"/>
      <c r="O75" s="311"/>
      <c r="P75" s="311"/>
      <c r="Q75" s="311"/>
      <c r="R75" s="311"/>
      <c r="S75" s="311"/>
      <c r="T75" s="311"/>
      <c r="U75" s="311"/>
      <c r="V75" s="311"/>
      <c r="W75" s="311"/>
      <c r="X75" s="311"/>
      <c r="Y75" s="311"/>
      <c r="Z75" s="311"/>
      <c r="AA75" s="311"/>
      <c r="AB75" s="311"/>
      <c r="AC75" s="311"/>
      <c r="AD75" s="311"/>
      <c r="AE75" s="311"/>
      <c r="AF75" s="311"/>
      <c r="AG75" s="311"/>
    </row>
    <row r="76" spans="1:33" ht="15" customHeight="1" x14ac:dyDescent="0.25">
      <c r="A76" s="311" t="s">
        <v>73</v>
      </c>
      <c r="B76" s="311"/>
      <c r="C76" s="311"/>
      <c r="D76" s="311"/>
      <c r="E76" s="311"/>
      <c r="F76" s="311"/>
      <c r="G76" s="311"/>
      <c r="H76" s="311"/>
      <c r="I76" s="311"/>
      <c r="J76" s="311"/>
      <c r="K76" s="311"/>
      <c r="L76" s="311"/>
      <c r="M76" s="311"/>
      <c r="N76" s="311"/>
      <c r="O76" s="311"/>
      <c r="P76" s="311"/>
      <c r="Q76" s="311"/>
      <c r="R76" s="311"/>
      <c r="S76" s="311"/>
      <c r="T76" s="311"/>
      <c r="U76" s="311"/>
      <c r="V76" s="311"/>
      <c r="W76" s="311"/>
      <c r="X76" s="311"/>
      <c r="Y76" s="311"/>
      <c r="Z76" s="311"/>
      <c r="AA76" s="311"/>
      <c r="AB76" s="311"/>
      <c r="AC76" s="311"/>
      <c r="AD76" s="311"/>
      <c r="AE76" s="311"/>
      <c r="AF76" s="311"/>
      <c r="AG76" s="311"/>
    </row>
    <row r="77" spans="1:33" ht="15" customHeight="1" x14ac:dyDescent="0.25">
      <c r="A77" s="311" t="s">
        <v>74</v>
      </c>
      <c r="B77" s="311"/>
      <c r="C77" s="311"/>
      <c r="D77" s="311"/>
      <c r="E77" s="311"/>
      <c r="F77" s="311"/>
      <c r="G77" s="311"/>
      <c r="H77" s="311"/>
      <c r="I77" s="311"/>
      <c r="J77" s="311"/>
      <c r="K77" s="311"/>
      <c r="L77" s="311"/>
      <c r="M77" s="311"/>
      <c r="N77" s="311"/>
      <c r="O77" s="311"/>
      <c r="P77" s="311"/>
      <c r="Q77" s="311"/>
      <c r="R77" s="311"/>
      <c r="S77" s="311"/>
      <c r="T77" s="311"/>
      <c r="U77" s="311"/>
      <c r="V77" s="311"/>
      <c r="W77" s="311"/>
      <c r="X77" s="311"/>
      <c r="Y77" s="311"/>
      <c r="Z77" s="311"/>
      <c r="AA77" s="311"/>
      <c r="AB77" s="311"/>
      <c r="AC77" s="311"/>
      <c r="AD77" s="311"/>
      <c r="AE77" s="311"/>
      <c r="AF77" s="311"/>
      <c r="AG77" s="311"/>
    </row>
    <row r="78" spans="1:33" ht="15" customHeight="1" x14ac:dyDescent="0.2">
      <c r="A78" s="311" t="s">
        <v>75</v>
      </c>
      <c r="B78" s="311"/>
      <c r="C78" s="311"/>
      <c r="D78" s="311"/>
      <c r="E78" s="311"/>
      <c r="F78" s="311"/>
      <c r="G78" s="311"/>
      <c r="H78" s="311"/>
      <c r="I78" s="311"/>
      <c r="J78" s="311"/>
      <c r="K78" s="311"/>
      <c r="L78" s="311"/>
      <c r="M78" s="311"/>
      <c r="N78" s="311"/>
      <c r="O78" s="311"/>
      <c r="P78" s="311"/>
      <c r="Q78" s="311"/>
      <c r="R78" s="311"/>
      <c r="S78" s="311"/>
      <c r="T78" s="311"/>
      <c r="U78" s="311"/>
      <c r="V78" s="311"/>
      <c r="W78" s="311"/>
      <c r="X78" s="311"/>
      <c r="Y78" s="311"/>
      <c r="Z78" s="311"/>
      <c r="AA78" s="311"/>
      <c r="AB78" s="311"/>
      <c r="AC78" s="311"/>
      <c r="AD78" s="311"/>
      <c r="AE78" s="311"/>
      <c r="AF78" s="311"/>
      <c r="AG78" s="311"/>
    </row>
    <row r="79" spans="1:33" ht="15" customHeight="1" x14ac:dyDescent="0.2">
      <c r="A79" s="311" t="s">
        <v>76</v>
      </c>
      <c r="B79" s="311"/>
      <c r="C79" s="311"/>
      <c r="D79" s="311"/>
      <c r="E79" s="311"/>
      <c r="F79" s="311"/>
      <c r="G79" s="311"/>
      <c r="H79" s="311"/>
      <c r="I79" s="311"/>
      <c r="J79" s="311"/>
      <c r="K79" s="311"/>
      <c r="L79" s="311"/>
      <c r="M79" s="311"/>
      <c r="N79" s="311"/>
      <c r="O79" s="311"/>
      <c r="P79" s="311"/>
      <c r="Q79" s="311"/>
      <c r="R79" s="311"/>
      <c r="S79" s="311"/>
      <c r="T79" s="311"/>
      <c r="U79" s="311"/>
      <c r="V79" s="311"/>
      <c r="W79" s="311"/>
      <c r="X79" s="311"/>
      <c r="Y79" s="311"/>
      <c r="Z79" s="311"/>
      <c r="AA79" s="311"/>
      <c r="AB79" s="311"/>
      <c r="AC79" s="311"/>
      <c r="AD79" s="311"/>
      <c r="AE79" s="311"/>
      <c r="AF79" s="311"/>
      <c r="AG79" s="311"/>
    </row>
    <row r="80" spans="1:33" ht="15" customHeight="1" x14ac:dyDescent="0.25">
      <c r="A80" s="311" t="s">
        <v>77</v>
      </c>
      <c r="B80" s="311"/>
      <c r="C80" s="311"/>
      <c r="D80" s="311"/>
      <c r="E80" s="311"/>
      <c r="F80" s="311"/>
      <c r="G80" s="311"/>
      <c r="H80" s="311"/>
      <c r="I80" s="311"/>
      <c r="J80" s="311"/>
      <c r="K80" s="311"/>
      <c r="L80" s="311"/>
      <c r="M80" s="311"/>
      <c r="N80" s="311"/>
      <c r="O80" s="311"/>
      <c r="P80" s="311"/>
      <c r="Q80" s="311"/>
      <c r="R80" s="311"/>
      <c r="S80" s="311"/>
      <c r="T80" s="311"/>
      <c r="U80" s="311"/>
      <c r="V80" s="311"/>
      <c r="W80" s="311"/>
      <c r="X80" s="311"/>
      <c r="Y80" s="311"/>
      <c r="Z80" s="311"/>
      <c r="AA80" s="311"/>
      <c r="AB80" s="311"/>
      <c r="AC80" s="311"/>
      <c r="AD80" s="311"/>
      <c r="AE80" s="311"/>
      <c r="AF80" s="311"/>
      <c r="AG80" s="311"/>
    </row>
  </sheetData>
  <mergeCells count="15">
    <mergeCell ref="A78:AG78"/>
    <mergeCell ref="A79:AG79"/>
    <mergeCell ref="A80:AG80"/>
    <mergeCell ref="A72:AG72"/>
    <mergeCell ref="A73:AG73"/>
    <mergeCell ref="A74:AG74"/>
    <mergeCell ref="A75:AG75"/>
    <mergeCell ref="A76:AG76"/>
    <mergeCell ref="A77:AG77"/>
    <mergeCell ref="A71:AG71"/>
    <mergeCell ref="A4:AG4"/>
    <mergeCell ref="A5:AG5"/>
    <mergeCell ref="A6:AG6"/>
    <mergeCell ref="A69:AG69"/>
    <mergeCell ref="A70:AG7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0DE98731-E674-4DB3-B149-24F3CD5D18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2C709B-63B3-4048-8476-EAF6016E9F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6DB273-A511-4ED4-B9C9-6522D0118B39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Monthly NEL</vt:lpstr>
      <vt:lpstr>FORECAST</vt:lpstr>
      <vt:lpstr>Demand Summary</vt:lpstr>
      <vt:lpstr>Rationale</vt:lpstr>
      <vt:lpstr>2014 Forecast Sources</vt:lpstr>
      <vt:lpstr>FPL Forecast Comparisons</vt:lpstr>
      <vt:lpstr>EIA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2016-04-11T18:03:05Z</dcterms:created>
  <dcterms:modified xsi:type="dcterms:W3CDTF">2016-04-13T17:37:20Z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