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32" yWindow="480" windowWidth="20376" windowHeight="9216"/>
  </bookViews>
  <sheets>
    <sheet name="MFR_E_10_Attachment_2__FPL201" sheetId="1" r:id="rId1"/>
    <sheet name="MFR_E_10_Attachment_2__FPL102" sheetId="2" r:id="rId2"/>
    <sheet name="Clause Allocations" sheetId="8" r:id="rId3"/>
    <sheet name="LF Analysis" sheetId="9" r:id="rId4"/>
    <sheet name="CP Analysis - From Load Researc" sheetId="10" r:id="rId5"/>
    <sheet name="Sheet1" sheetId="3" r:id="rId6"/>
  </sheets>
  <definedNames>
    <definedName name="co_name_line1">#REF!</definedName>
    <definedName name="co_name_line2">#REF!</definedName>
    <definedName name="docket_num">#REF!</definedName>
    <definedName name="HISTORICAL_YEAR_DATE">#REF!</definedName>
    <definedName name="HISTORICAL_YEAR_X">#REF!</definedName>
    <definedName name="PAGE_1_END">#REF!</definedName>
    <definedName name="PAGE_1_START">#REF!</definedName>
    <definedName name="_xlnm.Print_Area">#REF!</definedName>
    <definedName name="_xlnm.Print_Titles" localSheetId="1">MFR_E_10_Attachment_2__FPL102!$A:$A,MFR_E_10_Attachment_2__FPL102!$4:$15</definedName>
    <definedName name="_xlnm.Print_Titles" localSheetId="0">MFR_E_10_Attachment_2__FPL201!$A:$A,MFR_E_10_Attachment_2__FPL201!$1:$8</definedName>
    <definedName name="PRIOR_YEAR_DATE">#REF!</definedName>
    <definedName name="PRIOR_YEAR_X">#REF!</definedName>
    <definedName name="SUBSEQUENT_YEAR_DATE">#REF!</definedName>
    <definedName name="SUBSEQUENT_YEAR_X">#REF!</definedName>
    <definedName name="TEST_YEAR_DATE">#REF!</definedName>
    <definedName name="TEST_YEAR_X">#REF!</definedName>
  </definedNames>
  <calcPr calcId="145621"/>
</workbook>
</file>

<file path=xl/calcChain.xml><?xml version="1.0" encoding="utf-8"?>
<calcChain xmlns="http://schemas.openxmlformats.org/spreadsheetml/2006/main">
  <c r="H19" i="1" l="1"/>
  <c r="H12" i="1"/>
  <c r="E22" i="1"/>
  <c r="E23" i="1"/>
  <c r="E10" i="1"/>
  <c r="H9" i="1"/>
  <c r="G9" i="1"/>
  <c r="N25" i="9" l="1"/>
  <c r="N24" i="9"/>
  <c r="N21" i="9"/>
  <c r="N20" i="9"/>
  <c r="N17" i="9"/>
  <c r="N16" i="9"/>
  <c r="K27" i="9"/>
  <c r="K26" i="9"/>
  <c r="K23" i="9"/>
  <c r="K22" i="9"/>
  <c r="K19" i="9"/>
  <c r="K18" i="9"/>
  <c r="K15" i="9"/>
  <c r="K14" i="9"/>
  <c r="H24" i="9"/>
  <c r="H20" i="9"/>
  <c r="H16" i="9"/>
  <c r="N27" i="9"/>
  <c r="H27" i="9"/>
  <c r="N26" i="9"/>
  <c r="H26" i="9"/>
  <c r="E26" i="9"/>
  <c r="K24" i="9"/>
  <c r="N23" i="9"/>
  <c r="H23" i="9"/>
  <c r="E23" i="9"/>
  <c r="N22" i="9"/>
  <c r="H22" i="9"/>
  <c r="K21" i="9"/>
  <c r="H21" i="9"/>
  <c r="K16" i="9"/>
  <c r="E16" i="9"/>
  <c r="K20" i="9"/>
  <c r="N19" i="9"/>
  <c r="H19" i="9"/>
  <c r="N18" i="9"/>
  <c r="H18" i="9"/>
  <c r="K17" i="9"/>
  <c r="H17" i="9"/>
  <c r="E17" i="9"/>
  <c r="K25" i="9"/>
  <c r="H25" i="9"/>
  <c r="E25" i="9"/>
  <c r="N15" i="9"/>
  <c r="H15" i="9"/>
  <c r="E15" i="9"/>
  <c r="E20" i="10"/>
  <c r="D20" i="10"/>
  <c r="C20" i="10"/>
  <c r="B20" i="10"/>
  <c r="E14" i="9" l="1"/>
  <c r="E22" i="9"/>
  <c r="E19" i="9"/>
  <c r="E27" i="9"/>
  <c r="E20" i="9"/>
  <c r="E24" i="9"/>
  <c r="H14" i="9"/>
  <c r="N14" i="9"/>
  <c r="E18" i="9"/>
  <c r="E21" i="9"/>
  <c r="C34" i="2"/>
  <c r="A5" i="8"/>
  <c r="K32" i="2" l="1"/>
  <c r="K31" i="2"/>
  <c r="K30" i="2"/>
  <c r="K29" i="2"/>
  <c r="K28" i="2"/>
  <c r="K27" i="2"/>
  <c r="K26" i="2"/>
  <c r="K25" i="2"/>
  <c r="K24" i="2"/>
  <c r="K23" i="2"/>
  <c r="K22" i="2"/>
  <c r="K21" i="2"/>
  <c r="K20" i="2"/>
  <c r="K19" i="2"/>
  <c r="K18" i="2"/>
  <c r="K17" i="2"/>
  <c r="K16" i="2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D23" i="1"/>
  <c r="M23" i="1" s="1"/>
  <c r="N23" i="1" l="1"/>
  <c r="C21" i="9"/>
  <c r="D9" i="1"/>
  <c r="O9" i="1" s="1"/>
  <c r="C14" i="9"/>
  <c r="D11" i="1"/>
  <c r="C15" i="9"/>
  <c r="D15" i="1"/>
  <c r="M15" i="1" s="1"/>
  <c r="C19" i="9"/>
  <c r="D19" i="1"/>
  <c r="O19" i="1" s="1"/>
  <c r="C22" i="9"/>
  <c r="C25" i="9"/>
  <c r="C20" i="9"/>
  <c r="C23" i="9"/>
  <c r="C26" i="9"/>
  <c r="D13" i="1"/>
  <c r="O13" i="1" s="1"/>
  <c r="C17" i="9"/>
  <c r="D17" i="1"/>
  <c r="M17" i="1" s="1"/>
  <c r="C16" i="9"/>
  <c r="D21" i="1"/>
  <c r="O21" i="1" s="1"/>
  <c r="C24" i="9"/>
  <c r="D25" i="1"/>
  <c r="O25" i="1" s="1"/>
  <c r="C27" i="9"/>
  <c r="C18" i="9"/>
  <c r="D22" i="1"/>
  <c r="D14" i="1"/>
  <c r="M9" i="1"/>
  <c r="O23" i="1"/>
  <c r="D12" i="1"/>
  <c r="T13" i="1" s="1"/>
  <c r="U13" i="1" s="1"/>
  <c r="D18" i="1"/>
  <c r="D10" i="1"/>
  <c r="D20" i="1"/>
  <c r="D24" i="1"/>
  <c r="D16" i="1"/>
  <c r="B27" i="1"/>
  <c r="T9" i="1" l="1"/>
  <c r="U9" i="1" s="1"/>
  <c r="O17" i="1"/>
  <c r="N17" i="1"/>
  <c r="P17" i="1" s="1"/>
  <c r="P23" i="1"/>
  <c r="M25" i="1"/>
  <c r="C21" i="8"/>
  <c r="C15" i="8"/>
  <c r="C26" i="8"/>
  <c r="C24" i="8"/>
  <c r="C25" i="8"/>
  <c r="C18" i="8"/>
  <c r="C22" i="8"/>
  <c r="C20" i="8"/>
  <c r="N19" i="1"/>
  <c r="P19" i="1" s="1"/>
  <c r="M19" i="1"/>
  <c r="N11" i="1"/>
  <c r="O11" i="1"/>
  <c r="M11" i="1"/>
  <c r="N9" i="1"/>
  <c r="N25" i="1"/>
  <c r="C14" i="8"/>
  <c r="C16" i="8"/>
  <c r="C19" i="8"/>
  <c r="C23" i="8"/>
  <c r="C29" i="9"/>
  <c r="N21" i="1"/>
  <c r="M21" i="1"/>
  <c r="N13" i="1"/>
  <c r="M13" i="1"/>
  <c r="C17" i="8"/>
  <c r="C27" i="8"/>
  <c r="O15" i="1"/>
  <c r="N15" i="1"/>
  <c r="P15" i="1" s="1"/>
  <c r="O20" i="1"/>
  <c r="N20" i="1"/>
  <c r="M20" i="1"/>
  <c r="M22" i="1"/>
  <c r="T19" i="1"/>
  <c r="U19" i="1" s="1"/>
  <c r="O22" i="1"/>
  <c r="T20" i="1"/>
  <c r="U20" i="1" s="1"/>
  <c r="N22" i="1"/>
  <c r="T10" i="1"/>
  <c r="U10" i="1" s="1"/>
  <c r="V10" i="1" s="1"/>
  <c r="O10" i="1"/>
  <c r="N10" i="1"/>
  <c r="M10" i="1"/>
  <c r="D27" i="1"/>
  <c r="O16" i="1"/>
  <c r="N16" i="1"/>
  <c r="M16" i="1"/>
  <c r="N18" i="1"/>
  <c r="M18" i="1"/>
  <c r="O18" i="1"/>
  <c r="O14" i="1"/>
  <c r="N14" i="1"/>
  <c r="M14" i="1"/>
  <c r="N24" i="1"/>
  <c r="M24" i="1"/>
  <c r="O24" i="1"/>
  <c r="M12" i="1"/>
  <c r="O12" i="1"/>
  <c r="T12" i="1"/>
  <c r="U12" i="1" s="1"/>
  <c r="V13" i="1" s="1"/>
  <c r="N12" i="1"/>
  <c r="P9" i="1"/>
  <c r="P25" i="1" l="1"/>
  <c r="P21" i="1"/>
  <c r="N27" i="1"/>
  <c r="C29" i="8"/>
  <c r="P11" i="1"/>
  <c r="P13" i="1"/>
  <c r="P18" i="1"/>
  <c r="P14" i="1"/>
  <c r="P12" i="1"/>
  <c r="O27" i="1"/>
  <c r="P20" i="1"/>
  <c r="V20" i="1"/>
  <c r="P24" i="1"/>
  <c r="P16" i="1"/>
  <c r="P10" i="1"/>
  <c r="M27" i="1"/>
  <c r="P22" i="1"/>
  <c r="P27" i="1" l="1"/>
  <c r="Q20" i="1" s="1"/>
  <c r="Q22" i="1" l="1"/>
  <c r="Q25" i="1"/>
  <c r="Q13" i="1"/>
  <c r="Q11" i="1"/>
  <c r="Q23" i="1"/>
  <c r="Q17" i="1"/>
  <c r="Q15" i="1"/>
  <c r="Q19" i="1"/>
  <c r="Q21" i="1"/>
  <c r="Q9" i="1"/>
  <c r="Q18" i="1"/>
  <c r="Q10" i="1"/>
  <c r="Q16" i="1"/>
  <c r="Q14" i="1"/>
  <c r="Q12" i="1"/>
  <c r="Q24" i="1"/>
  <c r="Q27" i="1" l="1"/>
  <c r="O23" i="9" l="1"/>
  <c r="O17" i="9"/>
  <c r="O21" i="9"/>
  <c r="O27" i="9"/>
  <c r="L21" i="9"/>
  <c r="O25" i="9"/>
  <c r="O18" i="9"/>
  <c r="O24" i="9"/>
  <c r="L15" i="9"/>
  <c r="O19" i="9"/>
  <c r="L20" i="9"/>
  <c r="O26" i="9"/>
  <c r="O16" i="9"/>
  <c r="F19" i="8" l="1"/>
  <c r="H19" i="8" s="1"/>
  <c r="L19" i="9"/>
  <c r="O22" i="9"/>
  <c r="F17" i="8"/>
  <c r="H17" i="8" s="1"/>
  <c r="L23" i="9"/>
  <c r="F18" i="8"/>
  <c r="H18" i="8" s="1"/>
  <c r="L18" i="9"/>
  <c r="F21" i="8"/>
  <c r="H21" i="8" s="1"/>
  <c r="L27" i="9"/>
  <c r="G24" i="8"/>
  <c r="H24" i="8" s="1"/>
  <c r="O15" i="9"/>
  <c r="F27" i="8"/>
  <c r="H27" i="8" s="1"/>
  <c r="L25" i="9"/>
  <c r="F15" i="8"/>
  <c r="H15" i="8" s="1"/>
  <c r="L16" i="9"/>
  <c r="F22" i="8"/>
  <c r="H22" i="8" s="1"/>
  <c r="L26" i="9"/>
  <c r="F14" i="8"/>
  <c r="L24" i="9"/>
  <c r="F16" i="8"/>
  <c r="H16" i="8" s="1"/>
  <c r="L17" i="9"/>
  <c r="G20" i="8"/>
  <c r="H20" i="8" s="1"/>
  <c r="O20" i="9"/>
  <c r="K29" i="9" l="1"/>
  <c r="L14" i="9"/>
  <c r="N29" i="9"/>
  <c r="G23" i="8"/>
  <c r="O14" i="9"/>
  <c r="F26" i="8"/>
  <c r="H26" i="8" s="1"/>
  <c r="L22" i="9"/>
  <c r="H14" i="8"/>
  <c r="F29" i="8" l="1"/>
  <c r="G29" i="8"/>
  <c r="H23" i="8"/>
  <c r="I15" i="9"/>
  <c r="I25" i="9"/>
  <c r="I17" i="9"/>
  <c r="I18" i="9"/>
  <c r="I19" i="9"/>
  <c r="I20" i="9"/>
  <c r="I16" i="9"/>
  <c r="I23" i="9"/>
  <c r="I24" i="9"/>
  <c r="I26" i="9"/>
  <c r="I27" i="9"/>
  <c r="I22" i="9" l="1"/>
  <c r="E25" i="8"/>
  <c r="I21" i="9"/>
  <c r="E29" i="8" l="1"/>
  <c r="H25" i="8"/>
  <c r="H29" i="9"/>
  <c r="I14" i="9"/>
  <c r="D14" i="8" l="1"/>
  <c r="F24" i="9"/>
  <c r="E9" i="1"/>
  <c r="D28" i="2"/>
  <c r="E21" i="1"/>
  <c r="F22" i="9" l="1"/>
  <c r="D22" i="8"/>
  <c r="B22" i="8" s="1"/>
  <c r="F26" i="9"/>
  <c r="D23" i="8"/>
  <c r="B23" i="8" s="1"/>
  <c r="F14" i="9"/>
  <c r="D21" i="2"/>
  <c r="E14" i="1"/>
  <c r="D20" i="2"/>
  <c r="E13" i="1"/>
  <c r="D25" i="2"/>
  <c r="E18" i="1"/>
  <c r="D29" i="2"/>
  <c r="D30" i="2"/>
  <c r="D26" i="2"/>
  <c r="E19" i="1"/>
  <c r="D31" i="2"/>
  <c r="E24" i="1"/>
  <c r="D16" i="2"/>
  <c r="B34" i="2"/>
  <c r="D24" i="8"/>
  <c r="B24" i="8" s="1"/>
  <c r="F15" i="9"/>
  <c r="B14" i="8"/>
  <c r="D25" i="8"/>
  <c r="B25" i="8" s="1"/>
  <c r="F21" i="9"/>
  <c r="N28" i="2"/>
  <c r="M28" i="2"/>
  <c r="L28" i="2"/>
  <c r="D24" i="2"/>
  <c r="E17" i="1"/>
  <c r="D20" i="8"/>
  <c r="B20" i="8" s="1"/>
  <c r="F20" i="9"/>
  <c r="D19" i="2"/>
  <c r="E12" i="1"/>
  <c r="D18" i="2"/>
  <c r="E11" i="1"/>
  <c r="D17" i="8"/>
  <c r="B17" i="8" s="1"/>
  <c r="F23" i="9"/>
  <c r="D32" i="2"/>
  <c r="E25" i="1"/>
  <c r="D19" i="8"/>
  <c r="B19" i="8" s="1"/>
  <c r="F19" i="9"/>
  <c r="D17" i="2"/>
  <c r="D15" i="8"/>
  <c r="B15" i="8" s="1"/>
  <c r="F16" i="9"/>
  <c r="D23" i="2"/>
  <c r="E16" i="1"/>
  <c r="D18" i="8"/>
  <c r="B18" i="8" s="1"/>
  <c r="F18" i="9"/>
  <c r="D16" i="8"/>
  <c r="B16" i="8" s="1"/>
  <c r="F17" i="9"/>
  <c r="D27" i="2"/>
  <c r="E20" i="1"/>
  <c r="D21" i="8"/>
  <c r="B21" i="8" s="1"/>
  <c r="F27" i="9"/>
  <c r="D22" i="2"/>
  <c r="E15" i="1"/>
  <c r="D26" i="8" l="1"/>
  <c r="B26" i="8" s="1"/>
  <c r="D27" i="8"/>
  <c r="B27" i="8" s="1"/>
  <c r="F25" i="9"/>
  <c r="M27" i="2"/>
  <c r="L27" i="2"/>
  <c r="N27" i="2"/>
  <c r="L18" i="2"/>
  <c r="N18" i="2"/>
  <c r="M18" i="2"/>
  <c r="N21" i="2"/>
  <c r="M21" i="2"/>
  <c r="L21" i="2"/>
  <c r="E29" i="9"/>
  <c r="M23" i="2"/>
  <c r="L23" i="2"/>
  <c r="N23" i="2"/>
  <c r="N17" i="2"/>
  <c r="M17" i="2"/>
  <c r="L17" i="2"/>
  <c r="R17" i="2"/>
  <c r="S17" i="2" s="1"/>
  <c r="N24" i="2"/>
  <c r="M24" i="2"/>
  <c r="L24" i="2"/>
  <c r="M31" i="2"/>
  <c r="L31" i="2"/>
  <c r="N31" i="2"/>
  <c r="R20" i="2"/>
  <c r="S20" i="2" s="1"/>
  <c r="L30" i="2"/>
  <c r="N30" i="2"/>
  <c r="M30" i="2"/>
  <c r="D34" i="2"/>
  <c r="N20" i="2"/>
  <c r="M20" i="2"/>
  <c r="L20" i="2"/>
  <c r="L26" i="2"/>
  <c r="N26" i="2"/>
  <c r="M26" i="2"/>
  <c r="S19" i="1"/>
  <c r="N29" i="2"/>
  <c r="R27" i="2"/>
  <c r="S27" i="2" s="1"/>
  <c r="M29" i="2"/>
  <c r="L29" i="2"/>
  <c r="L22" i="2"/>
  <c r="N22" i="2"/>
  <c r="M22" i="2"/>
  <c r="N32" i="2"/>
  <c r="M32" i="2"/>
  <c r="L32" i="2"/>
  <c r="M19" i="2"/>
  <c r="R19" i="2"/>
  <c r="S19" i="2" s="1"/>
  <c r="L19" i="2"/>
  <c r="N19" i="2"/>
  <c r="S12" i="1"/>
  <c r="O28" i="2"/>
  <c r="N16" i="2"/>
  <c r="M16" i="2"/>
  <c r="L16" i="2"/>
  <c r="R16" i="2"/>
  <c r="S16" i="2" s="1"/>
  <c r="S9" i="1"/>
  <c r="N25" i="2"/>
  <c r="M25" i="2"/>
  <c r="L25" i="2"/>
  <c r="R26" i="2"/>
  <c r="S26" i="2" s="1"/>
  <c r="T27" i="2" l="1"/>
  <c r="M34" i="2"/>
  <c r="O24" i="2"/>
  <c r="O17" i="2"/>
  <c r="T20" i="2"/>
  <c r="O23" i="2"/>
  <c r="D29" i="8"/>
  <c r="O22" i="2"/>
  <c r="O31" i="2"/>
  <c r="O29" i="2"/>
  <c r="O25" i="2"/>
  <c r="N34" i="2"/>
  <c r="O30" i="2"/>
  <c r="T17" i="2"/>
  <c r="O19" i="2"/>
  <c r="O26" i="2"/>
  <c r="O20" i="2"/>
  <c r="O21" i="2"/>
  <c r="O18" i="2"/>
  <c r="O27" i="2"/>
  <c r="L34" i="2"/>
  <c r="O16" i="2"/>
  <c r="O32" i="2"/>
  <c r="O34" i="2" l="1"/>
  <c r="P27" i="2" s="1"/>
  <c r="P21" i="2" l="1"/>
  <c r="P20" i="2"/>
  <c r="P19" i="2"/>
  <c r="P16" i="2"/>
  <c r="P18" i="2"/>
  <c r="P30" i="2"/>
  <c r="P31" i="2"/>
  <c r="P24" i="2"/>
  <c r="P22" i="2"/>
  <c r="P17" i="2"/>
  <c r="P23" i="2"/>
  <c r="P28" i="2"/>
  <c r="P29" i="2"/>
  <c r="P32" i="2"/>
  <c r="P26" i="2"/>
  <c r="P25" i="2"/>
</calcChain>
</file>

<file path=xl/sharedStrings.xml><?xml version="1.0" encoding="utf-8"?>
<sst xmlns="http://schemas.openxmlformats.org/spreadsheetml/2006/main" count="357" uniqueCount="146">
  <si>
    <t>FPL201 -  MWH Sales</t>
  </si>
  <si>
    <t>Explanation: The total 12 month MWH Sales, adjusted for losses.</t>
  </si>
  <si>
    <t/>
  </si>
  <si>
    <t>MWH Sales @ Meter</t>
  </si>
  <si>
    <t>Voltage Level %</t>
  </si>
  <si>
    <t>Loss Expansion Factor</t>
  </si>
  <si>
    <t>MWH Sales @ Generation</t>
  </si>
  <si>
    <t>% to</t>
  </si>
  <si>
    <t>@ Meter</t>
  </si>
  <si>
    <t>Adjustment</t>
  </si>
  <si>
    <t>Adjusted</t>
  </si>
  <si>
    <t>Transm</t>
  </si>
  <si>
    <t>Primary</t>
  </si>
  <si>
    <t>Secondary</t>
  </si>
  <si>
    <t>Total</t>
  </si>
  <si>
    <t>Total Retail</t>
  </si>
  <si>
    <t>Total System</t>
  </si>
  <si>
    <t>CILC-1G</t>
  </si>
  <si>
    <t>CILC-1T</t>
  </si>
  <si>
    <t>GSD(T)-1</t>
  </si>
  <si>
    <t>GSLD(T)-1</t>
  </si>
  <si>
    <t>GSLD(T)-2</t>
  </si>
  <si>
    <t>GSLD(T)-3</t>
  </si>
  <si>
    <t>GS(T)-1</t>
  </si>
  <si>
    <t>MET</t>
  </si>
  <si>
    <t>OS-2</t>
  </si>
  <si>
    <t>RS(T)-1</t>
  </si>
  <si>
    <t>SL-1</t>
  </si>
  <si>
    <t>SL-2</t>
  </si>
  <si>
    <t>SST-DST</t>
  </si>
  <si>
    <t>SST-TST</t>
  </si>
  <si>
    <t>BLOUNTSTOWN</t>
  </si>
  <si>
    <t>FKEC</t>
  </si>
  <si>
    <t>KWEST</t>
  </si>
  <si>
    <t>LCEC</t>
  </si>
  <si>
    <t>MDCSWM</t>
  </si>
  <si>
    <t>NEW SMRYNA BEACH</t>
  </si>
  <si>
    <t>SEMINOLE</t>
  </si>
  <si>
    <t>WAUCHULA</t>
  </si>
  <si>
    <t>WINTER PARK</t>
  </si>
  <si>
    <t>Total Wholesale</t>
  </si>
  <si>
    <t>Total FPL</t>
  </si>
  <si>
    <t>Jurisdictional Separation Factor</t>
  </si>
  <si>
    <t>Totals may not add due to rounding.</t>
  </si>
  <si>
    <t>FPL102 - Average of the 12 Months CP Demand - Nuclear Production</t>
  </si>
  <si>
    <t>Explanation: The total class contribution to the average of the 12 monthly Coincident Peak (12CP) demands, adjusted for losses, excluding the Key West contract.</t>
  </si>
  <si>
    <t>Purpose: Used to separate nuclear production plant and related cost between Retail and Wholesale jurisdictions.</t>
  </si>
  <si>
    <t>12 CP @ Meter</t>
  </si>
  <si>
    <t>12 CP @ Generation</t>
  </si>
  <si>
    <t>2018 JURISDICTIONAL SEPARATION STUDY</t>
  </si>
  <si>
    <t>Load factor (CP)</t>
  </si>
  <si>
    <t>Energy Loss Factors</t>
  </si>
  <si>
    <t>Combined Rate Classes</t>
  </si>
  <si>
    <t>Loss Factors</t>
  </si>
  <si>
    <t>CILC-D/CILC-G</t>
  </si>
  <si>
    <t>GSCU/SL-2</t>
  </si>
  <si>
    <t>OL-1/ SL-1</t>
  </si>
  <si>
    <t>Rate Class</t>
  </si>
  <si>
    <t>METRO</t>
  </si>
  <si>
    <t>12 NCP</t>
  </si>
  <si>
    <t>Demand Loss Factors</t>
  </si>
  <si>
    <t>12 CP</t>
  </si>
  <si>
    <t>12 GCP</t>
  </si>
  <si>
    <t>12 NCP on Peak</t>
  </si>
  <si>
    <t>SST-1(D)</t>
  </si>
  <si>
    <t>SST-1(T)</t>
  </si>
  <si>
    <t>2017 Load Factor Analysis</t>
  </si>
  <si>
    <t>January 2017 through December 2017</t>
  </si>
  <si>
    <t>(Utilized for calculation of recovery factors for the capacity, environmental, and conservation clauses)</t>
  </si>
  <si>
    <t xml:space="preserve">Average </t>
  </si>
  <si>
    <t>Annual</t>
  </si>
  <si>
    <t>ON PEAK</t>
  </si>
  <si>
    <t>Rate</t>
  </si>
  <si>
    <t>Sales</t>
  </si>
  <si>
    <t>Load</t>
  </si>
  <si>
    <t>Class</t>
  </si>
  <si>
    <t>Code</t>
  </si>
  <si>
    <t>kWH (1)</t>
  </si>
  <si>
    <t>kW (2)</t>
  </si>
  <si>
    <t>Factor (3)</t>
  </si>
  <si>
    <t>Factor (4)</t>
  </si>
  <si>
    <t>Factor (5)</t>
  </si>
  <si>
    <t>Factor (6)</t>
  </si>
  <si>
    <t>CILC-1D/CILC-1G</t>
  </si>
  <si>
    <t>54 &amp; 56</t>
  </si>
  <si>
    <t>68, 69 &amp; 78</t>
  </si>
  <si>
    <t>GSD(T)-1 / HLFT-1 / SDTR-1A &amp; 1B</t>
  </si>
  <si>
    <t>70, 72, 170, 270 &amp; 370</t>
  </si>
  <si>
    <t>GSLD(T)-1 / CS(T)-1 / HLFT-2 / SDTR-2A &amp; 2B</t>
  </si>
  <si>
    <t>62, 64, 73, 74, 164, 264 &amp; 364</t>
  </si>
  <si>
    <t>GSLD(T)-2 / CS(T)-2 / HLFT-3 / SDTR-3A &amp; 3B</t>
  </si>
  <si>
    <t>63, 65, 71, 75, 165, 265 &amp; 365</t>
  </si>
  <si>
    <t>GSLD(T)-3 / CS(T)-3</t>
  </si>
  <si>
    <t>91, 90, 92 &amp; 82</t>
  </si>
  <si>
    <t>OL-1 / SL-1</t>
  </si>
  <si>
    <t>11 &amp; 87</t>
  </si>
  <si>
    <t>44 &amp; 45</t>
  </si>
  <si>
    <t>SL-2 / GSCU-1</t>
  </si>
  <si>
    <t>86 &amp; 168</t>
  </si>
  <si>
    <t>SST-1D</t>
  </si>
  <si>
    <t>851, 852 &amp; 853</t>
  </si>
  <si>
    <t>SST-1T</t>
  </si>
  <si>
    <t>TOTALS</t>
  </si>
  <si>
    <t>Notes</t>
  </si>
  <si>
    <t xml:space="preserve">     (1)  Source:  2017 Forecast</t>
  </si>
  <si>
    <t xml:space="preserve">     (2)  Source:  2012 to 2014 Averages from E-11</t>
  </si>
  <si>
    <t xml:space="preserve">     (3)  Average 12 CP Load Factor = (KWH / 8760 / Average 12 CP) * 100</t>
  </si>
  <si>
    <t xml:space="preserve">     (4)  Average 12 GCP Load Factor = (KWH / 8760 / Average 12 GCP) * 100</t>
  </si>
  <si>
    <t xml:space="preserve">     (5)  Average 12 NCP Load Factor = (KWH / 8760 / Average 12 NCP) * 100</t>
  </si>
  <si>
    <t xml:space="preserve">     (6)  Average 12 NCP On Peak Load Factor = (KWH / 8760 / Average 12 NCP On Peak) * 100</t>
  </si>
  <si>
    <t xml:space="preserve">     (7)  Totals may not add due to rounding</t>
  </si>
  <si>
    <t>RATE LOAD RESEARCH INPUT</t>
  </si>
  <si>
    <t>RATE</t>
  </si>
  <si>
    <t>AVG 12 CP</t>
  </si>
  <si>
    <t>ANNUAL</t>
  </si>
  <si>
    <t>LOAD FACTOR</t>
  </si>
  <si>
    <t>CLASS</t>
  </si>
  <si>
    <t>SALES</t>
  </si>
  <si>
    <t>(KW) (3)</t>
  </si>
  <si>
    <t>AVG 12 GCP (4)</t>
  </si>
  <si>
    <t xml:space="preserve">AVG 12 NCP (5) </t>
  </si>
  <si>
    <t xml:space="preserve">AVG 12 NCP on Peak (6) </t>
  </si>
  <si>
    <t>LF % (7)</t>
  </si>
  <si>
    <t>% (1)</t>
  </si>
  <si>
    <t>(KWH) (2)</t>
  </si>
  <si>
    <t>(kW) (2)</t>
  </si>
  <si>
    <t>TOTAL</t>
  </si>
  <si>
    <t>Notes:</t>
  </si>
  <si>
    <t xml:space="preserve">     (1)  AVG 12 CP LF = (KWH / 8760 / AVG 12 CP) * 100</t>
  </si>
  <si>
    <t xml:space="preserve">     (2)  Source:  2010 Rate Case</t>
  </si>
  <si>
    <t xml:space="preserve">     (3)  Source:  2010 Rate Case</t>
  </si>
  <si>
    <t xml:space="preserve">     (4)  AVG 12 GCP was used for MET.</t>
  </si>
  <si>
    <t xml:space="preserve">     (5)  AVG 12 NCP was used for RS(T)-1, GS(T)-1, GSD(T)-1, GSLD(T)-1, GSLD(T)-2, SST-1T, SST-1D, OS-2, OL-1/SL-1, SL-2/GSCU-1</t>
  </si>
  <si>
    <t xml:space="preserve">     (6) AVG 12 On Peak NCP was used for CILC-1D/CILC-1G, CILC-1T and GSLD(T)-3 </t>
  </si>
  <si>
    <t xml:space="preserve">     (7)  LF% = (KWH / 8760 / AVG 12 NCP or AVG 12 On Peak NCP or AVG 12 GCP as applicable (refer to note 5)) * 100</t>
  </si>
  <si>
    <t xml:space="preserve">     (8)  Totals may not add due to rounding</t>
  </si>
  <si>
    <t xml:space="preserve">CILC1D&amp;G </t>
  </si>
  <si>
    <t>CILC-1D</t>
  </si>
  <si>
    <t>GSCU-1</t>
  </si>
  <si>
    <t>OL-1</t>
  </si>
  <si>
    <t>OPC 015364</t>
  </si>
  <si>
    <t>FPL RC-16</t>
  </si>
  <si>
    <t>OPC 015365</t>
  </si>
  <si>
    <t>OPC 015366</t>
  </si>
  <si>
    <t>OPC 015367</t>
  </si>
  <si>
    <t>OPC 015368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</si>
</sst>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(* #,##0.00_);_(* \(#,##0.00\);_(* &quot;-&quot;??_);_(@_)"/>
    <numFmt numFmtId="164" formatCode="#,##0.000000_);\(#,##0.000000\)"/>
    <numFmt numFmtId="165" formatCode="#,##0.000"/>
    <numFmt numFmtId="166" formatCode="#,##0.0000%_);\(#,##0.0000%\)"/>
    <numFmt numFmtId="167" formatCode="#,##0.000000_);[Red]\(#,##0.000000\);&quot; &quot;"/>
    <numFmt numFmtId="168" formatCode="_(* #,##0_);_(* \(#,##0\);_(* &quot;-&quot;??_);_(@_)"/>
    <numFmt numFmtId="169" formatCode="0.000%"/>
    <numFmt numFmtId="170" formatCode="#,##0.0000000"/>
    <numFmt numFmtId="171" formatCode="0.00000%"/>
  </numFmts>
  <fonts count="10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color rgb="FF00B050"/>
      <name val="Arial"/>
      <family val="2"/>
    </font>
    <font>
      <sz val="10"/>
      <color rgb="FF00B0F0"/>
      <name val="Arial"/>
      <family val="2"/>
    </font>
    <font>
      <sz val="10"/>
      <color theme="9" tint="-0.249977111117893"/>
      <name val="Arial"/>
      <family val="2"/>
    </font>
    <font>
      <b/>
      <sz val="10"/>
      <color indexed="8"/>
      <name val="Arial"/>
      <family val="2"/>
    </font>
    <font>
      <sz val="10"/>
      <color theme="1"/>
      <name val="Arial"/>
      <family val="2"/>
    </font>
    <font>
      <sz val="11"/>
      <color indexed="8"/>
      <name val="Calibri"/>
      <family val="2"/>
    </font>
    <font>
      <b/>
      <sz val="16"/>
      <name val="Arial"/>
      <family val="2"/>
    </font>
    <font>
      <sz val="11"/>
      <name val="Arial"/>
      <family val="2"/>
    </font>
    <font>
      <b/>
      <u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9"/>
      <name val="Arial"/>
      <family val="2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double">
        <color indexed="8"/>
      </bottom>
      <diagonal/>
    </border>
    <border>
      <left/>
      <right/>
      <top/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7">
    <xf numFmtId="0" fontId="0" fillId="0" borderId="0"/>
    <xf numFmtId="43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0" fontId="92" fillId="0" borderId="0"/>
    <xf numFmtId="43" fontId="9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97" fillId="0" borderId="0"/>
    <xf numFmtId="0" fontId="1" fillId="0" borderId="0"/>
    <xf numFmtId="0" fontId="2" fillId="0" borderId="0"/>
    <xf numFmtId="0" fontId="98" fillId="3" borderId="15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197">
    <xf numFmtId="0" fontId="0" fillId="0" borderId="0" xfId="0"/>
    <xf numFmtId="0" fontId="0" fillId="0" borderId="1" xfId="0" applyBorder="1"/>
    <xf numFmtId="0" fontId="2" fillId="0" borderId="0" xfId="0" applyFont="1"/>
    <xf numFmtId="0" fontId="3" fillId="0" borderId="0" xfId="0" applyFont="1"/>
    <xf numFmtId="0" fontId="4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37" fontId="6" fillId="0" borderId="0" xfId="0" applyNumberFormat="1" applyFont="1" applyAlignment="1">
      <alignment horizontal="right"/>
    </xf>
    <xf numFmtId="164" fontId="7" fillId="0" borderId="0" xfId="0" applyNumberFormat="1" applyFont="1" applyAlignment="1">
      <alignment horizontal="right"/>
    </xf>
    <xf numFmtId="165" fontId="8" fillId="0" borderId="0" xfId="0" applyNumberFormat="1" applyFont="1" applyAlignment="1">
      <alignment horizontal="right"/>
    </xf>
    <xf numFmtId="166" fontId="9" fillId="0" borderId="0" xfId="0" applyNumberFormat="1" applyFont="1" applyAlignment="1">
      <alignment horizontal="right"/>
    </xf>
    <xf numFmtId="0" fontId="10" fillId="0" borderId="0" xfId="0" applyNumberFormat="1" applyFont="1" applyAlignment="1">
      <alignment horizontal="right"/>
    </xf>
    <xf numFmtId="0" fontId="11" fillId="0" borderId="0" xfId="0" applyNumberFormat="1" applyFont="1" applyAlignment="1">
      <alignment horizontal="right"/>
    </xf>
    <xf numFmtId="0" fontId="12" fillId="0" borderId="0" xfId="0" applyNumberFormat="1" applyFont="1" applyAlignment="1">
      <alignment horizontal="right"/>
    </xf>
    <xf numFmtId="0" fontId="13" fillId="0" borderId="0" xfId="0" applyNumberFormat="1" applyFont="1" applyAlignment="1">
      <alignment horizontal="right"/>
    </xf>
    <xf numFmtId="0" fontId="14" fillId="0" borderId="0" xfId="0" applyNumberFormat="1" applyFont="1" applyAlignment="1">
      <alignment horizontal="right"/>
    </xf>
    <xf numFmtId="0" fontId="15" fillId="0" borderId="0" xfId="0" applyNumberFormat="1" applyFont="1" applyAlignment="1">
      <alignment horizontal="right"/>
    </xf>
    <xf numFmtId="0" fontId="16" fillId="0" borderId="0" xfId="0" applyNumberFormat="1" applyFont="1" applyAlignment="1">
      <alignment horizontal="right"/>
    </xf>
    <xf numFmtId="0" fontId="17" fillId="0" borderId="0" xfId="0" applyNumberFormat="1" applyFont="1" applyAlignment="1">
      <alignment horizontal="right"/>
    </xf>
    <xf numFmtId="0" fontId="18" fillId="0" borderId="0" xfId="0" applyNumberFormat="1" applyFont="1" applyAlignment="1">
      <alignment horizontal="right"/>
    </xf>
    <xf numFmtId="37" fontId="19" fillId="0" borderId="2" xfId="0" applyNumberFormat="1" applyFont="1" applyBorder="1" applyAlignment="1">
      <alignment horizontal="right"/>
    </xf>
    <xf numFmtId="0" fontId="20" fillId="0" borderId="0" xfId="0" applyNumberFormat="1" applyFont="1" applyAlignment="1">
      <alignment horizontal="right"/>
    </xf>
    <xf numFmtId="0" fontId="21" fillId="0" borderId="0" xfId="0" applyNumberFormat="1" applyFont="1" applyAlignment="1">
      <alignment horizontal="right"/>
    </xf>
    <xf numFmtId="0" fontId="22" fillId="0" borderId="0" xfId="0" applyNumberFormat="1" applyFont="1" applyAlignment="1">
      <alignment horizontal="right"/>
    </xf>
    <xf numFmtId="166" fontId="23" fillId="0" borderId="2" xfId="0" applyNumberFormat="1" applyFont="1" applyBorder="1" applyAlignment="1">
      <alignment horizontal="right"/>
    </xf>
    <xf numFmtId="37" fontId="24" fillId="0" borderId="4" xfId="0" applyNumberFormat="1" applyFont="1" applyBorder="1" applyAlignment="1">
      <alignment horizontal="right"/>
    </xf>
    <xf numFmtId="0" fontId="25" fillId="0" borderId="0" xfId="0" applyNumberFormat="1" applyFont="1" applyAlignment="1">
      <alignment horizontal="right"/>
    </xf>
    <xf numFmtId="0" fontId="26" fillId="0" borderId="0" xfId="0" applyNumberFormat="1" applyFont="1" applyAlignment="1">
      <alignment horizontal="right"/>
    </xf>
    <xf numFmtId="0" fontId="27" fillId="0" borderId="0" xfId="0" applyNumberFormat="1" applyFont="1" applyAlignment="1">
      <alignment horizontal="right"/>
    </xf>
    <xf numFmtId="166" fontId="28" fillId="0" borderId="4" xfId="0" applyNumberFormat="1" applyFont="1" applyBorder="1" applyAlignment="1">
      <alignment horizontal="right"/>
    </xf>
    <xf numFmtId="0" fontId="29" fillId="0" borderId="0" xfId="0" applyFont="1" applyAlignment="1">
      <alignment horizontal="left" wrapText="1"/>
    </xf>
    <xf numFmtId="0" fontId="30" fillId="0" borderId="0" xfId="0" applyNumberFormat="1" applyFont="1" applyAlignment="1">
      <alignment horizontal="right"/>
    </xf>
    <xf numFmtId="0" fontId="31" fillId="0" borderId="0" xfId="0" applyNumberFormat="1" applyFont="1" applyAlignment="1">
      <alignment horizontal="right"/>
    </xf>
    <xf numFmtId="0" fontId="32" fillId="0" borderId="0" xfId="0" applyNumberFormat="1" applyFont="1" applyAlignment="1">
      <alignment horizontal="right"/>
    </xf>
    <xf numFmtId="167" fontId="33" fillId="0" borderId="5" xfId="0" applyNumberFormat="1" applyFont="1" applyBorder="1" applyAlignment="1">
      <alignment horizontal="right"/>
    </xf>
    <xf numFmtId="0" fontId="34" fillId="0" borderId="0" xfId="0" applyNumberFormat="1" applyFont="1" applyAlignment="1">
      <alignment horizontal="right"/>
    </xf>
    <xf numFmtId="0" fontId="35" fillId="0" borderId="0" xfId="0" applyNumberFormat="1" applyFont="1" applyAlignment="1">
      <alignment horizontal="right"/>
    </xf>
    <xf numFmtId="0" fontId="36" fillId="0" borderId="0" xfId="0" applyFont="1"/>
    <xf numFmtId="0" fontId="0" fillId="0" borderId="1" xfId="0" applyBorder="1"/>
    <xf numFmtId="0" fontId="37" fillId="0" borderId="0" xfId="0" applyFont="1"/>
    <xf numFmtId="0" fontId="38" fillId="0" borderId="0" xfId="0" applyFont="1"/>
    <xf numFmtId="0" fontId="39" fillId="0" borderId="3" xfId="0" applyFont="1" applyBorder="1" applyAlignment="1">
      <alignment horizontal="center" vertical="center" wrapText="1"/>
    </xf>
    <xf numFmtId="0" fontId="40" fillId="0" borderId="0" xfId="0" applyFont="1" applyAlignment="1">
      <alignment horizontal="left"/>
    </xf>
    <xf numFmtId="37" fontId="41" fillId="0" borderId="0" xfId="0" applyNumberFormat="1" applyFont="1" applyAlignment="1">
      <alignment horizontal="right"/>
    </xf>
    <xf numFmtId="37" fontId="42" fillId="0" borderId="0" xfId="0" applyNumberFormat="1" applyFont="1" applyAlignment="1">
      <alignment horizontal="right"/>
    </xf>
    <xf numFmtId="37" fontId="43" fillId="0" borderId="0" xfId="0" applyNumberFormat="1" applyFont="1" applyAlignment="1">
      <alignment horizontal="right"/>
    </xf>
    <xf numFmtId="164" fontId="44" fillId="0" borderId="0" xfId="0" applyNumberFormat="1" applyFont="1" applyAlignment="1">
      <alignment horizontal="right"/>
    </xf>
    <xf numFmtId="165" fontId="45" fillId="0" borderId="0" xfId="0" applyNumberFormat="1" applyFont="1" applyAlignment="1">
      <alignment horizontal="right"/>
    </xf>
    <xf numFmtId="37" fontId="46" fillId="0" borderId="0" xfId="0" applyNumberFormat="1" applyFont="1" applyAlignment="1">
      <alignment horizontal="right"/>
    </xf>
    <xf numFmtId="37" fontId="47" fillId="0" borderId="0" xfId="0" applyNumberFormat="1" applyFont="1" applyAlignment="1">
      <alignment horizontal="right"/>
    </xf>
    <xf numFmtId="37" fontId="48" fillId="0" borderId="0" xfId="0" applyNumberFormat="1" applyFont="1" applyAlignment="1">
      <alignment horizontal="right"/>
    </xf>
    <xf numFmtId="166" fontId="49" fillId="0" borderId="0" xfId="0" applyNumberFormat="1" applyFont="1" applyAlignment="1">
      <alignment horizontal="right"/>
    </xf>
    <xf numFmtId="0" fontId="50" fillId="0" borderId="0" xfId="0" applyNumberFormat="1" applyFont="1" applyAlignment="1">
      <alignment horizontal="right"/>
    </xf>
    <xf numFmtId="0" fontId="51" fillId="0" borderId="0" xfId="0" applyNumberFormat="1" applyFont="1" applyAlignment="1">
      <alignment horizontal="right"/>
    </xf>
    <xf numFmtId="0" fontId="52" fillId="0" borderId="0" xfId="0" applyNumberFormat="1" applyFont="1" applyAlignment="1">
      <alignment horizontal="right"/>
    </xf>
    <xf numFmtId="0" fontId="53" fillId="0" borderId="0" xfId="0" applyNumberFormat="1" applyFont="1" applyAlignment="1">
      <alignment horizontal="right"/>
    </xf>
    <xf numFmtId="0" fontId="54" fillId="0" borderId="0" xfId="0" applyNumberFormat="1" applyFont="1" applyAlignment="1">
      <alignment horizontal="right"/>
    </xf>
    <xf numFmtId="0" fontId="55" fillId="0" borderId="0" xfId="0" applyNumberFormat="1" applyFont="1" applyAlignment="1">
      <alignment horizontal="right"/>
    </xf>
    <xf numFmtId="0" fontId="56" fillId="0" borderId="0" xfId="0" applyNumberFormat="1" applyFont="1" applyAlignment="1">
      <alignment horizontal="right"/>
    </xf>
    <xf numFmtId="0" fontId="57" fillId="0" borderId="0" xfId="0" applyNumberFormat="1" applyFont="1" applyAlignment="1">
      <alignment horizontal="right"/>
    </xf>
    <xf numFmtId="0" fontId="58" fillId="0" borderId="0" xfId="0" applyNumberFormat="1" applyFont="1" applyAlignment="1">
      <alignment horizontal="right"/>
    </xf>
    <xf numFmtId="37" fontId="59" fillId="0" borderId="2" xfId="0" applyNumberFormat="1" applyFont="1" applyBorder="1" applyAlignment="1">
      <alignment horizontal="right"/>
    </xf>
    <xf numFmtId="37" fontId="60" fillId="0" borderId="2" xfId="0" applyNumberFormat="1" applyFont="1" applyBorder="1" applyAlignment="1">
      <alignment horizontal="right"/>
    </xf>
    <xf numFmtId="37" fontId="61" fillId="0" borderId="2" xfId="0" applyNumberFormat="1" applyFont="1" applyBorder="1" applyAlignment="1">
      <alignment horizontal="right"/>
    </xf>
    <xf numFmtId="0" fontId="62" fillId="0" borderId="0" xfId="0" applyNumberFormat="1" applyFont="1" applyAlignment="1">
      <alignment horizontal="right"/>
    </xf>
    <xf numFmtId="0" fontId="63" fillId="0" borderId="0" xfId="0" applyNumberFormat="1" applyFont="1" applyAlignment="1">
      <alignment horizontal="right"/>
    </xf>
    <xf numFmtId="37" fontId="64" fillId="0" borderId="2" xfId="0" applyNumberFormat="1" applyFont="1" applyBorder="1" applyAlignment="1">
      <alignment horizontal="right"/>
    </xf>
    <xf numFmtId="37" fontId="65" fillId="0" borderId="2" xfId="0" applyNumberFormat="1" applyFont="1" applyBorder="1" applyAlignment="1">
      <alignment horizontal="right"/>
    </xf>
    <xf numFmtId="37" fontId="66" fillId="0" borderId="2" xfId="0" applyNumberFormat="1" applyFont="1" applyBorder="1" applyAlignment="1">
      <alignment horizontal="right"/>
    </xf>
    <xf numFmtId="0" fontId="67" fillId="0" borderId="0" xfId="0" applyNumberFormat="1" applyFont="1" applyAlignment="1">
      <alignment horizontal="right"/>
    </xf>
    <xf numFmtId="166" fontId="68" fillId="0" borderId="2" xfId="0" applyNumberFormat="1" applyFont="1" applyBorder="1" applyAlignment="1">
      <alignment horizontal="right"/>
    </xf>
    <xf numFmtId="37" fontId="69" fillId="0" borderId="4" xfId="0" applyNumberFormat="1" applyFont="1" applyBorder="1" applyAlignment="1">
      <alignment horizontal="right"/>
    </xf>
    <xf numFmtId="37" fontId="70" fillId="0" borderId="4" xfId="0" applyNumberFormat="1" applyFont="1" applyBorder="1" applyAlignment="1">
      <alignment horizontal="right"/>
    </xf>
    <xf numFmtId="37" fontId="71" fillId="0" borderId="4" xfId="0" applyNumberFormat="1" applyFont="1" applyBorder="1" applyAlignment="1">
      <alignment horizontal="right"/>
    </xf>
    <xf numFmtId="0" fontId="72" fillId="0" borderId="0" xfId="0" applyNumberFormat="1" applyFont="1" applyAlignment="1">
      <alignment horizontal="right"/>
    </xf>
    <xf numFmtId="0" fontId="73" fillId="0" borderId="0" xfId="0" applyNumberFormat="1" applyFont="1" applyAlignment="1">
      <alignment horizontal="right"/>
    </xf>
    <xf numFmtId="37" fontId="74" fillId="0" borderId="4" xfId="0" applyNumberFormat="1" applyFont="1" applyBorder="1" applyAlignment="1">
      <alignment horizontal="right"/>
    </xf>
    <xf numFmtId="37" fontId="75" fillId="0" borderId="4" xfId="0" applyNumberFormat="1" applyFont="1" applyBorder="1" applyAlignment="1">
      <alignment horizontal="right"/>
    </xf>
    <xf numFmtId="37" fontId="76" fillId="0" borderId="4" xfId="0" applyNumberFormat="1" applyFont="1" applyBorder="1" applyAlignment="1">
      <alignment horizontal="right"/>
    </xf>
    <xf numFmtId="0" fontId="77" fillId="0" borderId="0" xfId="0" applyNumberFormat="1" applyFont="1" applyAlignment="1">
      <alignment horizontal="right"/>
    </xf>
    <xf numFmtId="166" fontId="78" fillId="0" borderId="4" xfId="0" applyNumberFormat="1" applyFont="1" applyBorder="1" applyAlignment="1">
      <alignment horizontal="right"/>
    </xf>
    <xf numFmtId="0" fontId="79" fillId="0" borderId="0" xfId="0" applyFont="1" applyAlignment="1">
      <alignment horizontal="left"/>
    </xf>
    <xf numFmtId="0" fontId="80" fillId="0" borderId="0" xfId="0" applyNumberFormat="1" applyFont="1" applyAlignment="1">
      <alignment horizontal="right"/>
    </xf>
    <xf numFmtId="0" fontId="81" fillId="0" borderId="0" xfId="0" applyNumberFormat="1" applyFont="1" applyAlignment="1">
      <alignment horizontal="right"/>
    </xf>
    <xf numFmtId="0" fontId="82" fillId="0" borderId="0" xfId="0" applyNumberFormat="1" applyFont="1" applyAlignment="1">
      <alignment horizontal="right"/>
    </xf>
    <xf numFmtId="0" fontId="83" fillId="0" borderId="0" xfId="0" applyNumberFormat="1" applyFont="1" applyAlignment="1">
      <alignment horizontal="right"/>
    </xf>
    <xf numFmtId="0" fontId="84" fillId="0" borderId="0" xfId="0" applyNumberFormat="1" applyFont="1" applyAlignment="1">
      <alignment horizontal="right"/>
    </xf>
    <xf numFmtId="0" fontId="85" fillId="0" borderId="0" xfId="0" applyNumberFormat="1" applyFont="1" applyAlignment="1">
      <alignment horizontal="right"/>
    </xf>
    <xf numFmtId="0" fontId="86" fillId="0" borderId="0" xfId="0" applyNumberFormat="1" applyFont="1" applyAlignment="1">
      <alignment horizontal="right"/>
    </xf>
    <xf numFmtId="167" fontId="87" fillId="0" borderId="5" xfId="0" applyNumberFormat="1" applyFont="1" applyBorder="1" applyAlignment="1">
      <alignment horizontal="right"/>
    </xf>
    <xf numFmtId="0" fontId="88" fillId="0" borderId="0" xfId="0" applyNumberFormat="1" applyFont="1" applyAlignment="1">
      <alignment horizontal="right"/>
    </xf>
    <xf numFmtId="0" fontId="89" fillId="0" borderId="0" xfId="0" applyNumberFormat="1" applyFont="1" applyAlignment="1">
      <alignment horizontal="right"/>
    </xf>
    <xf numFmtId="0" fontId="90" fillId="0" borderId="0" xfId="0" applyFont="1"/>
    <xf numFmtId="0" fontId="0" fillId="0" borderId="0" xfId="0"/>
    <xf numFmtId="0" fontId="0" fillId="0" borderId="0" xfId="0"/>
    <xf numFmtId="168" fontId="0" fillId="2" borderId="0" xfId="1" applyNumberFormat="1" applyFont="1" applyFill="1"/>
    <xf numFmtId="0" fontId="0" fillId="2" borderId="0" xfId="0" applyFill="1"/>
    <xf numFmtId="37" fontId="19" fillId="0" borderId="0" xfId="0" applyNumberFormat="1" applyFont="1" applyBorder="1" applyAlignment="1">
      <alignment horizontal="right"/>
    </xf>
    <xf numFmtId="37" fontId="24" fillId="0" borderId="0" xfId="0" applyNumberFormat="1" applyFont="1" applyBorder="1" applyAlignment="1">
      <alignment horizontal="right"/>
    </xf>
    <xf numFmtId="0" fontId="92" fillId="0" borderId="3" xfId="0" applyFont="1" applyBorder="1" applyAlignment="1">
      <alignment horizontal="center" vertical="center" wrapText="1"/>
    </xf>
    <xf numFmtId="0" fontId="92" fillId="2" borderId="3" xfId="0" applyFont="1" applyFill="1" applyBorder="1" applyAlignment="1">
      <alignment horizontal="center" vertical="center" wrapText="1"/>
    </xf>
    <xf numFmtId="0" fontId="92" fillId="0" borderId="0" xfId="0" applyFont="1" applyBorder="1" applyAlignment="1">
      <alignment horizontal="center" vertical="center" wrapText="1"/>
    </xf>
    <xf numFmtId="168" fontId="0" fillId="0" borderId="0" xfId="0" applyNumberFormat="1" applyFill="1" applyBorder="1"/>
    <xf numFmtId="0" fontId="92" fillId="0" borderId="0" xfId="0" applyFont="1" applyFill="1" applyBorder="1" applyAlignment="1">
      <alignment horizontal="center" vertical="center" wrapText="1"/>
    </xf>
    <xf numFmtId="0" fontId="0" fillId="0" borderId="0" xfId="0" applyBorder="1"/>
    <xf numFmtId="0" fontId="0" fillId="0" borderId="9" xfId="0" applyBorder="1"/>
    <xf numFmtId="0" fontId="0" fillId="0" borderId="10" xfId="0" applyBorder="1"/>
    <xf numFmtId="0" fontId="0" fillId="0" borderId="0" xfId="0" applyFill="1" applyBorder="1"/>
    <xf numFmtId="0" fontId="0" fillId="0" borderId="11" xfId="0" applyBorder="1"/>
    <xf numFmtId="0" fontId="0" fillId="0" borderId="1" xfId="0" applyFill="1" applyBorder="1"/>
    <xf numFmtId="0" fontId="0" fillId="0" borderId="12" xfId="0" applyBorder="1"/>
    <xf numFmtId="0" fontId="0" fillId="0" borderId="0" xfId="0" applyAlignment="1">
      <alignment horizontal="center"/>
    </xf>
    <xf numFmtId="0" fontId="92" fillId="0" borderId="0" xfId="0" applyFont="1" applyAlignment="1">
      <alignment horizontal="left"/>
    </xf>
    <xf numFmtId="0" fontId="0" fillId="2" borderId="13" xfId="0" applyFill="1" applyBorder="1"/>
    <xf numFmtId="0" fontId="92" fillId="2" borderId="14" xfId="0" applyFont="1" applyFill="1" applyBorder="1" applyAlignment="1">
      <alignment horizontal="center" vertical="center" wrapText="1"/>
    </xf>
    <xf numFmtId="0" fontId="93" fillId="0" borderId="0" xfId="0" applyFont="1" applyAlignment="1">
      <alignment horizontal="left"/>
    </xf>
    <xf numFmtId="0" fontId="94" fillId="0" borderId="0" xfId="0" applyFont="1" applyAlignment="1">
      <alignment horizontal="left"/>
    </xf>
    <xf numFmtId="0" fontId="95" fillId="0" borderId="0" xfId="0" applyFont="1" applyAlignment="1">
      <alignment horizontal="left"/>
    </xf>
    <xf numFmtId="0" fontId="0" fillId="0" borderId="0" xfId="0"/>
    <xf numFmtId="168" fontId="96" fillId="4" borderId="16" xfId="1" quotePrefix="1" applyNumberFormat="1" applyFont="1" applyFill="1" applyBorder="1" applyAlignment="1">
      <alignment horizontal="center" wrapText="1"/>
    </xf>
    <xf numFmtId="0" fontId="29" fillId="4" borderId="17" xfId="0" quotePrefix="1" applyFont="1" applyFill="1" applyBorder="1" applyAlignment="1">
      <alignment horizontal="center" wrapText="1"/>
    </xf>
    <xf numFmtId="0" fontId="2" fillId="0" borderId="0" xfId="5" applyFont="1"/>
    <xf numFmtId="168" fontId="0" fillId="0" borderId="0" xfId="1" applyNumberFormat="1" applyFont="1"/>
    <xf numFmtId="0" fontId="2" fillId="0" borderId="0" xfId="5" quotePrefix="1" applyFont="1" applyAlignment="1">
      <alignment horizontal="left"/>
    </xf>
    <xf numFmtId="0" fontId="2" fillId="0" borderId="0" xfId="0" applyFont="1" applyAlignment="1">
      <alignment horizontal="left"/>
    </xf>
    <xf numFmtId="0" fontId="99" fillId="0" borderId="0" xfId="11" quotePrefix="1" applyFont="1" applyAlignment="1">
      <alignment horizontal="left"/>
    </xf>
    <xf numFmtId="0" fontId="2" fillId="0" borderId="0" xfId="11" applyAlignment="1">
      <alignment horizontal="center"/>
    </xf>
    <xf numFmtId="168" fontId="2" fillId="0" borderId="0" xfId="7" applyNumberFormat="1"/>
    <xf numFmtId="10" fontId="2" fillId="0" borderId="0" xfId="16" applyNumberFormat="1"/>
    <xf numFmtId="0" fontId="2" fillId="0" borderId="0" xfId="11"/>
    <xf numFmtId="0" fontId="100" fillId="0" borderId="0" xfId="11" applyFont="1" applyAlignment="1">
      <alignment horizontal="left"/>
    </xf>
    <xf numFmtId="0" fontId="2" fillId="0" borderId="0" xfId="11" applyAlignment="1">
      <alignment horizontal="left"/>
    </xf>
    <xf numFmtId="0" fontId="99" fillId="0" borderId="0" xfId="11" applyFont="1"/>
    <xf numFmtId="10" fontId="29" fillId="0" borderId="0" xfId="16" applyNumberFormat="1" applyFont="1" applyAlignment="1">
      <alignment horizontal="center"/>
    </xf>
    <xf numFmtId="168" fontId="29" fillId="0" borderId="0" xfId="7" applyNumberFormat="1" applyFont="1" applyAlignment="1">
      <alignment horizontal="center"/>
    </xf>
    <xf numFmtId="0" fontId="29" fillId="0" borderId="0" xfId="11" applyFont="1" applyAlignment="1">
      <alignment horizontal="center"/>
    </xf>
    <xf numFmtId="0" fontId="101" fillId="0" borderId="0" xfId="11" applyFont="1" applyAlignment="1">
      <alignment horizontal="center"/>
    </xf>
    <xf numFmtId="168" fontId="101" fillId="0" borderId="0" xfId="7" applyNumberFormat="1" applyFont="1" applyAlignment="1">
      <alignment horizontal="center"/>
    </xf>
    <xf numFmtId="10" fontId="101" fillId="0" borderId="0" xfId="16" applyNumberFormat="1" applyFont="1" applyAlignment="1">
      <alignment horizontal="center"/>
    </xf>
    <xf numFmtId="0" fontId="29" fillId="0" borderId="0" xfId="11" applyFont="1"/>
    <xf numFmtId="0" fontId="102" fillId="0" borderId="0" xfId="11" applyFont="1" applyAlignment="1">
      <alignment horizontal="center"/>
    </xf>
    <xf numFmtId="168" fontId="103" fillId="0" borderId="0" xfId="7" applyNumberFormat="1" applyFont="1"/>
    <xf numFmtId="10" fontId="2" fillId="0" borderId="0" xfId="16" applyNumberFormat="1" applyFont="1" applyBorder="1"/>
    <xf numFmtId="0" fontId="2" fillId="0" borderId="0" xfId="11" applyFont="1" applyBorder="1"/>
    <xf numFmtId="0" fontId="29" fillId="0" borderId="0" xfId="11" quotePrefix="1" applyFont="1" applyAlignment="1">
      <alignment horizontal="left"/>
    </xf>
    <xf numFmtId="0" fontId="102" fillId="0" borderId="0" xfId="11" quotePrefix="1" applyFont="1" applyAlignment="1">
      <alignment horizontal="center"/>
    </xf>
    <xf numFmtId="0" fontId="29" fillId="0" borderId="0" xfId="11" applyFont="1" applyAlignment="1">
      <alignment horizontal="right"/>
    </xf>
    <xf numFmtId="168" fontId="2" fillId="0" borderId="18" xfId="7" applyNumberFormat="1" applyBorder="1"/>
    <xf numFmtId="168" fontId="2" fillId="0" borderId="0" xfId="7" applyNumberFormat="1" applyBorder="1"/>
    <xf numFmtId="168" fontId="104" fillId="0" borderId="0" xfId="7" applyNumberFormat="1" applyFont="1"/>
    <xf numFmtId="0" fontId="2" fillId="0" borderId="0" xfId="11" quotePrefix="1" applyFont="1" applyAlignment="1">
      <alignment horizontal="left"/>
    </xf>
    <xf numFmtId="169" fontId="2" fillId="0" borderId="0" xfId="16" applyNumberFormat="1" applyFont="1"/>
    <xf numFmtId="168" fontId="2" fillId="0" borderId="0" xfId="7" applyNumberFormat="1" applyFont="1"/>
    <xf numFmtId="169" fontId="29" fillId="0" borderId="0" xfId="16" applyNumberFormat="1" applyFont="1" applyAlignment="1">
      <alignment horizontal="center"/>
    </xf>
    <xf numFmtId="168" fontId="29" fillId="0" borderId="0" xfId="7" applyNumberFormat="1" applyFont="1"/>
    <xf numFmtId="168" fontId="29" fillId="0" borderId="0" xfId="7" applyNumberFormat="1" applyFont="1" applyBorder="1" applyAlignment="1">
      <alignment horizontal="center"/>
    </xf>
    <xf numFmtId="168" fontId="29" fillId="0" borderId="0" xfId="7" applyNumberFormat="1" applyFont="1" applyAlignment="1">
      <alignment horizontal="center" wrapText="1"/>
    </xf>
    <xf numFmtId="0" fontId="2" fillId="0" borderId="0" xfId="11" applyFont="1"/>
    <xf numFmtId="168" fontId="29" fillId="0" borderId="0" xfId="7" quotePrefix="1" applyNumberFormat="1" applyFont="1" applyAlignment="1">
      <alignment horizontal="center"/>
    </xf>
    <xf numFmtId="0" fontId="29" fillId="0" borderId="1" xfId="11" applyFont="1" applyBorder="1" applyAlignment="1">
      <alignment horizontal="center"/>
    </xf>
    <xf numFmtId="169" fontId="29" fillId="0" borderId="1" xfId="16" applyNumberFormat="1" applyFont="1" applyBorder="1" applyAlignment="1">
      <alignment horizontal="center"/>
    </xf>
    <xf numFmtId="168" fontId="29" fillId="0" borderId="1" xfId="7" quotePrefix="1" applyNumberFormat="1" applyFont="1" applyBorder="1" applyAlignment="1">
      <alignment horizontal="center"/>
    </xf>
    <xf numFmtId="168" fontId="29" fillId="0" borderId="1" xfId="7" applyNumberFormat="1" applyFont="1" applyBorder="1" applyAlignment="1">
      <alignment horizontal="center"/>
    </xf>
    <xf numFmtId="169" fontId="2" fillId="0" borderId="0" xfId="16" applyNumberFormat="1" applyFont="1" applyBorder="1"/>
    <xf numFmtId="171" fontId="2" fillId="0" borderId="0" xfId="16" applyNumberFormat="1" applyFont="1" applyBorder="1"/>
    <xf numFmtId="37" fontId="2" fillId="2" borderId="0" xfId="0" applyNumberFormat="1" applyFont="1" applyFill="1" applyAlignment="1">
      <alignment horizontal="right"/>
    </xf>
    <xf numFmtId="37" fontId="2" fillId="0" borderId="0" xfId="0" applyNumberFormat="1" applyFont="1" applyFill="1" applyAlignment="1">
      <alignment horizontal="right"/>
    </xf>
    <xf numFmtId="164" fontId="2" fillId="0" borderId="0" xfId="0" applyNumberFormat="1" applyFont="1" applyFill="1" applyAlignment="1">
      <alignment horizontal="right"/>
    </xf>
    <xf numFmtId="165" fontId="2" fillId="0" borderId="0" xfId="0" applyNumberFormat="1" applyFont="1" applyFill="1" applyAlignment="1">
      <alignment horizontal="right"/>
    </xf>
    <xf numFmtId="170" fontId="2" fillId="0" borderId="0" xfId="0" applyNumberFormat="1" applyFont="1" applyFill="1" applyAlignment="1">
      <alignment horizontal="right"/>
    </xf>
    <xf numFmtId="166" fontId="2" fillId="2" borderId="0" xfId="0" applyNumberFormat="1" applyFont="1" applyFill="1" applyAlignment="1">
      <alignment horizontal="right"/>
    </xf>
    <xf numFmtId="166" fontId="2" fillId="0" borderId="0" xfId="0" applyNumberFormat="1" applyFont="1" applyAlignment="1">
      <alignment horizontal="right"/>
    </xf>
    <xf numFmtId="0" fontId="0" fillId="2" borderId="0" xfId="0" applyFill="1" applyBorder="1"/>
    <xf numFmtId="164" fontId="2" fillId="0" borderId="0" xfId="0" applyNumberFormat="1" applyFont="1" applyAlignment="1">
      <alignment horizontal="right"/>
    </xf>
    <xf numFmtId="165" fontId="2" fillId="0" borderId="0" xfId="0" applyNumberFormat="1" applyFont="1" applyAlignment="1">
      <alignment horizontal="right"/>
    </xf>
    <xf numFmtId="170" fontId="2" fillId="2" borderId="0" xfId="0" applyNumberFormat="1" applyFont="1" applyFill="1" applyAlignment="1">
      <alignment horizontal="right"/>
    </xf>
    <xf numFmtId="0" fontId="0" fillId="2" borderId="1" xfId="0" applyFill="1" applyBorder="1"/>
    <xf numFmtId="0" fontId="105" fillId="2" borderId="0" xfId="0" applyFont="1" applyFill="1"/>
    <xf numFmtId="37" fontId="2" fillId="2" borderId="2" xfId="0" applyNumberFormat="1" applyFont="1" applyFill="1" applyBorder="1" applyAlignment="1">
      <alignment horizontal="right"/>
    </xf>
    <xf numFmtId="0" fontId="2" fillId="0" borderId="0" xfId="0" applyNumberFormat="1" applyFont="1" applyAlignment="1">
      <alignment horizontal="right"/>
    </xf>
    <xf numFmtId="166" fontId="2" fillId="2" borderId="2" xfId="0" applyNumberFormat="1" applyFont="1" applyFill="1" applyBorder="1" applyAlignment="1">
      <alignment horizontal="right"/>
    </xf>
    <xf numFmtId="166" fontId="2" fillId="0" borderId="2" xfId="0" applyNumberFormat="1" applyFont="1" applyBorder="1" applyAlignment="1">
      <alignment horizontal="right"/>
    </xf>
    <xf numFmtId="169" fontId="2" fillId="0" borderId="0" xfId="2" applyNumberFormat="1" applyFont="1" applyFill="1" applyAlignment="1">
      <alignment horizontal="right"/>
    </xf>
    <xf numFmtId="169" fontId="2" fillId="2" borderId="0" xfId="2" applyNumberFormat="1" applyFont="1" applyFill="1" applyAlignment="1">
      <alignment horizontal="right"/>
    </xf>
    <xf numFmtId="37" fontId="2" fillId="0" borderId="0" xfId="0" applyNumberFormat="1" applyFont="1" applyBorder="1" applyAlignment="1">
      <alignment horizontal="right"/>
    </xf>
    <xf numFmtId="166" fontId="2" fillId="0" borderId="0" xfId="0" applyNumberFormat="1" applyFont="1" applyBorder="1" applyAlignment="1">
      <alignment horizontal="right"/>
    </xf>
    <xf numFmtId="168" fontId="106" fillId="0" borderId="0" xfId="1" applyNumberFormat="1" applyFont="1"/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0" fillId="0" borderId="0" xfId="0"/>
    <xf numFmtId="0" fontId="39" fillId="0" borderId="3" xfId="0" applyFont="1" applyBorder="1" applyAlignment="1">
      <alignment horizontal="center" vertical="center" wrapText="1"/>
    </xf>
    <xf numFmtId="0" fontId="99" fillId="0" borderId="0" xfId="11" applyFont="1" applyAlignment="1">
      <alignment horizontal="center"/>
    </xf>
    <xf numFmtId="0" fontId="100" fillId="0" borderId="0" xfId="11" applyFont="1" applyAlignment="1">
      <alignment horizontal="center"/>
    </xf>
    <xf numFmtId="168" fontId="29" fillId="0" borderId="0" xfId="7" applyNumberFormat="1" applyFont="1" applyAlignment="1">
      <alignment horizontal="center"/>
    </xf>
    <xf numFmtId="0" fontId="107" fillId="0" borderId="0" xfId="0" applyFont="1"/>
  </cellXfs>
  <cellStyles count="17">
    <cellStyle name="Comma" xfId="1" builtinId="3"/>
    <cellStyle name="Comma 2" xfId="6"/>
    <cellStyle name="Comma 3" xfId="4"/>
    <cellStyle name="Comma 4" xfId="7"/>
    <cellStyle name="Normal" xfId="0" builtinId="0"/>
    <cellStyle name="Normal 2" xfId="8"/>
    <cellStyle name="Normal 3" xfId="9"/>
    <cellStyle name="Normal 4" xfId="3"/>
    <cellStyle name="Normal 4 2" xfId="5"/>
    <cellStyle name="Normal 5" xfId="10"/>
    <cellStyle name="Normal 6" xfId="11"/>
    <cellStyle name="Note 2" xfId="12"/>
    <cellStyle name="Percent" xfId="2" builtinId="5"/>
    <cellStyle name="Percent 2" xfId="13"/>
    <cellStyle name="Percent 3" xfId="14"/>
    <cellStyle name="Percent 4" xfId="15"/>
    <cellStyle name="Percent 5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X47"/>
  <sheetViews>
    <sheetView showGridLines="0" tabSelected="1" workbookViewId="0">
      <pane xSplit="1" ySplit="8" topLeftCell="B9" activePane="bottomRight" state="frozen"/>
      <selection pane="topRight"/>
      <selection pane="bottomLeft"/>
      <selection pane="bottomRight" sqref="A1:A2"/>
    </sheetView>
  </sheetViews>
  <sheetFormatPr defaultRowHeight="14.4" x14ac:dyDescent="0.3"/>
  <cols>
    <col min="1" max="1" width="25.44140625" customWidth="1"/>
    <col min="2" max="4" width="11.6640625" customWidth="1"/>
    <col min="5" max="5" width="12.44140625" style="92" customWidth="1"/>
    <col min="6" max="11" width="11.6640625" customWidth="1"/>
    <col min="12" max="12" width="11.6640625" style="92" customWidth="1"/>
    <col min="13" max="18" width="11.6640625" customWidth="1"/>
  </cols>
  <sheetData>
    <row r="1" spans="1:24" ht="15.6" x14ac:dyDescent="0.3">
      <c r="A1" s="196" t="s">
        <v>140</v>
      </c>
      <c r="H1" s="3" t="s">
        <v>0</v>
      </c>
    </row>
    <row r="2" spans="1:24" x14ac:dyDescent="0.3">
      <c r="A2" s="196" t="s">
        <v>141</v>
      </c>
    </row>
    <row r="5" spans="1:24" x14ac:dyDescent="0.3">
      <c r="A5" s="2" t="s">
        <v>1</v>
      </c>
    </row>
    <row r="6" spans="1:24" ht="15" thickBot="1" x14ac:dyDescent="0.35">
      <c r="A6" s="1"/>
      <c r="B6" s="1"/>
      <c r="C6" s="1"/>
      <c r="D6" s="1"/>
      <c r="E6" s="37"/>
      <c r="F6" s="1"/>
      <c r="G6" s="1"/>
      <c r="H6" s="1"/>
      <c r="I6" s="1"/>
      <c r="J6" s="1"/>
      <c r="K6" s="1"/>
      <c r="L6" s="37"/>
      <c r="M6" s="1"/>
      <c r="N6" s="1"/>
      <c r="O6" s="1"/>
      <c r="P6" s="1"/>
      <c r="Q6" s="1"/>
      <c r="R6" s="1"/>
    </row>
    <row r="7" spans="1:24" ht="15" thickBot="1" x14ac:dyDescent="0.35">
      <c r="A7" s="190" t="s">
        <v>2</v>
      </c>
      <c r="B7" s="190" t="s">
        <v>3</v>
      </c>
      <c r="C7" s="191"/>
      <c r="D7" s="191"/>
      <c r="F7" s="190" t="s">
        <v>4</v>
      </c>
      <c r="G7" s="191"/>
      <c r="H7" s="191"/>
      <c r="I7" s="190" t="s">
        <v>5</v>
      </c>
      <c r="J7" s="191"/>
      <c r="K7" s="191"/>
      <c r="L7" s="95"/>
      <c r="M7" s="190" t="s">
        <v>6</v>
      </c>
      <c r="N7" s="191"/>
      <c r="O7" s="191"/>
      <c r="P7" s="191"/>
      <c r="Q7" s="190" t="s">
        <v>7</v>
      </c>
      <c r="R7" s="190"/>
      <c r="S7" s="100"/>
      <c r="T7" s="187" t="s">
        <v>52</v>
      </c>
      <c r="U7" s="188"/>
      <c r="V7" s="188"/>
      <c r="W7" s="188"/>
      <c r="X7" s="189"/>
    </row>
    <row r="8" spans="1:24" ht="40.200000000000003" thickBot="1" x14ac:dyDescent="0.35">
      <c r="A8" s="190"/>
      <c r="B8" s="4" t="s">
        <v>8</v>
      </c>
      <c r="C8" s="4" t="s">
        <v>9</v>
      </c>
      <c r="D8" s="4" t="s">
        <v>10</v>
      </c>
      <c r="E8" s="98" t="s">
        <v>50</v>
      </c>
      <c r="F8" s="4" t="s">
        <v>11</v>
      </c>
      <c r="G8" s="4" t="s">
        <v>12</v>
      </c>
      <c r="H8" s="4" t="s">
        <v>13</v>
      </c>
      <c r="I8" s="4" t="s">
        <v>11</v>
      </c>
      <c r="J8" s="4" t="s">
        <v>12</v>
      </c>
      <c r="K8" s="4" t="s">
        <v>13</v>
      </c>
      <c r="L8" s="99" t="s">
        <v>51</v>
      </c>
      <c r="M8" s="4" t="s">
        <v>11</v>
      </c>
      <c r="N8" s="4" t="s">
        <v>12</v>
      </c>
      <c r="O8" s="4" t="s">
        <v>13</v>
      </c>
      <c r="P8" s="4" t="s">
        <v>14</v>
      </c>
      <c r="Q8" s="4" t="s">
        <v>15</v>
      </c>
      <c r="R8" s="4" t="s">
        <v>16</v>
      </c>
      <c r="S8" s="98" t="s">
        <v>50</v>
      </c>
      <c r="T8" s="101" t="s">
        <v>53</v>
      </c>
      <c r="U8" s="102"/>
      <c r="V8" s="92"/>
      <c r="W8" s="103"/>
      <c r="X8" s="104"/>
    </row>
    <row r="9" spans="1:24" x14ac:dyDescent="0.3">
      <c r="A9" s="114" t="s">
        <v>137</v>
      </c>
      <c r="B9" s="94">
        <v>2692047.0780000002</v>
      </c>
      <c r="C9" s="164">
        <v>0</v>
      </c>
      <c r="D9" s="164">
        <f>B9</f>
        <v>2692047.0780000002</v>
      </c>
      <c r="E9" s="181">
        <f>1000*B9/(8760*VLOOKUP(A9,MFR_E_10_Attachment_2__FPL102!$A$16:$B$32,2,FALSE))</f>
        <v>0.9174251976486435</v>
      </c>
      <c r="F9" s="172">
        <v>0</v>
      </c>
      <c r="G9" s="172">
        <f>0.38241</f>
        <v>0.38241000000000003</v>
      </c>
      <c r="H9" s="172">
        <f>0.61759</f>
        <v>0.61758999999999997</v>
      </c>
      <c r="I9" s="173">
        <v>1.0192635511103794</v>
      </c>
      <c r="J9" s="173">
        <v>1.0290819050976752</v>
      </c>
      <c r="K9" s="173">
        <v>1.0569853616547027</v>
      </c>
      <c r="L9" s="168">
        <f>(F9*I9)+(G9*J9)+(H9*K9)</f>
        <v>1.0463148008327297</v>
      </c>
      <c r="M9" s="164">
        <f t="shared" ref="M9:O24" si="0">$D9*F9*I9</f>
        <v>0</v>
      </c>
      <c r="N9" s="164">
        <f t="shared" si="0"/>
        <v>1059404.5475584252</v>
      </c>
      <c r="O9" s="164">
        <f t="shared" si="0"/>
        <v>1757324.1546914771</v>
      </c>
      <c r="P9" s="164">
        <f>SUM(M9:O9)</f>
        <v>2816728.7022499023</v>
      </c>
      <c r="Q9" s="169">
        <f t="shared" ref="Q9:Q25" si="1">P9/$P$27</f>
        <v>2.4675249620506098E-2</v>
      </c>
      <c r="R9" s="170">
        <v>2.2040819560377085E-2</v>
      </c>
      <c r="S9" s="182">
        <f>1000*($B$9+$B$10)/(8760*(MFR_E_10_Attachment_2__FPL102!D16+MFR_E_10_Attachment_2__FPL102!D17))</f>
        <v>0.91658548420808617</v>
      </c>
      <c r="T9" s="105">
        <f>D9/($D$9+$D$10)</f>
        <v>0.96359334365554039</v>
      </c>
      <c r="U9" s="106">
        <f>L9*T9</f>
        <v>1.0082219774506909</v>
      </c>
      <c r="V9" s="106"/>
      <c r="W9" s="103"/>
      <c r="X9" s="104"/>
    </row>
    <row r="10" spans="1:24" x14ac:dyDescent="0.3">
      <c r="A10" s="114" t="s">
        <v>17</v>
      </c>
      <c r="B10" s="94">
        <v>101711.405</v>
      </c>
      <c r="C10" s="164">
        <v>0</v>
      </c>
      <c r="D10" s="164">
        <f t="shared" ref="D10:D25" si="2">B10</f>
        <v>101711.405</v>
      </c>
      <c r="E10" s="181">
        <f>1000*B10/(8760*VLOOKUP(A10,MFR_E_10_Attachment_2__FPL102!$A$16:$B$32,2,FALSE))</f>
        <v>0.89490590681592641</v>
      </c>
      <c r="F10" s="172">
        <v>0</v>
      </c>
      <c r="G10" s="172">
        <v>1.3429999999999999E-2</v>
      </c>
      <c r="H10" s="172">
        <v>0.98656999999999995</v>
      </c>
      <c r="I10" s="173">
        <v>1.0192635511103794</v>
      </c>
      <c r="J10" s="173">
        <v>1.0290819050976752</v>
      </c>
      <c r="K10" s="173">
        <v>1.0569853616547027</v>
      </c>
      <c r="L10" s="168">
        <f t="shared" ref="L10:L25" si="3">(F10*I10)+(G10*J10)+(H10*K10)</f>
        <v>1.0566106182331418</v>
      </c>
      <c r="M10" s="164">
        <f t="shared" si="0"/>
        <v>0</v>
      </c>
      <c r="N10" s="164">
        <f t="shared" si="0"/>
        <v>1405.7095911221468</v>
      </c>
      <c r="O10" s="164">
        <f t="shared" si="0"/>
        <v>106063.64092728932</v>
      </c>
      <c r="P10" s="164">
        <f t="shared" ref="P10:P25" si="4">SUM(M10:O10)</f>
        <v>107469.35051841146</v>
      </c>
      <c r="Q10" s="169">
        <f t="shared" si="1"/>
        <v>9.4145845443946365E-4</v>
      </c>
      <c r="R10" s="170">
        <v>1.1651814528707129E-3</v>
      </c>
      <c r="S10" s="170"/>
      <c r="T10" s="105">
        <f>D10/($D$9+$D$10)</f>
        <v>3.6406656344459679E-2</v>
      </c>
      <c r="U10" s="106">
        <f>L10*T10</f>
        <v>3.8467659667921074E-2</v>
      </c>
      <c r="V10" s="171">
        <f>U9+U10</f>
        <v>1.0466896371186118</v>
      </c>
      <c r="W10" s="103" t="s">
        <v>54</v>
      </c>
      <c r="X10" s="104"/>
    </row>
    <row r="11" spans="1:24" x14ac:dyDescent="0.3">
      <c r="A11" s="123" t="s">
        <v>18</v>
      </c>
      <c r="B11" s="94">
        <v>1532764.787</v>
      </c>
      <c r="C11" s="164">
        <v>0</v>
      </c>
      <c r="D11" s="164">
        <f t="shared" si="2"/>
        <v>1532764.787</v>
      </c>
      <c r="E11" s="182">
        <f>1000*B11/(8760*VLOOKUP(A11,MFR_E_10_Attachment_2__FPL102!$A$16:$B$32,2,FALSE))</f>
        <v>0.97642671174339868</v>
      </c>
      <c r="F11" s="172">
        <v>1</v>
      </c>
      <c r="G11" s="172">
        <v>0</v>
      </c>
      <c r="H11" s="172">
        <v>0</v>
      </c>
      <c r="I11" s="173">
        <v>1.0192635511103794</v>
      </c>
      <c r="J11" s="173">
        <v>1.0290819050976752</v>
      </c>
      <c r="K11" s="173">
        <v>1.0569853616547027</v>
      </c>
      <c r="L11" s="174">
        <f t="shared" si="3"/>
        <v>1.0192635511103794</v>
      </c>
      <c r="M11" s="164">
        <f t="shared" si="0"/>
        <v>1562291.2798145642</v>
      </c>
      <c r="N11" s="164">
        <f t="shared" si="0"/>
        <v>0</v>
      </c>
      <c r="O11" s="164">
        <f t="shared" si="0"/>
        <v>0</v>
      </c>
      <c r="P11" s="164">
        <f t="shared" si="4"/>
        <v>1562291.2798145642</v>
      </c>
      <c r="Q11" s="169">
        <f t="shared" si="1"/>
        <v>1.3686063296962894E-2</v>
      </c>
      <c r="R11" s="170">
        <v>1.093948329607411E-2</v>
      </c>
      <c r="S11" s="170"/>
      <c r="T11" s="105"/>
      <c r="U11" s="103"/>
      <c r="V11" s="103"/>
      <c r="W11" s="103"/>
      <c r="X11" s="104"/>
    </row>
    <row r="12" spans="1:24" x14ac:dyDescent="0.3">
      <c r="A12" s="115" t="s">
        <v>138</v>
      </c>
      <c r="B12" s="94">
        <v>71082.173999999999</v>
      </c>
      <c r="C12" s="164">
        <v>0</v>
      </c>
      <c r="D12" s="164">
        <f t="shared" si="2"/>
        <v>71082.173999999999</v>
      </c>
      <c r="E12" s="181">
        <f>1000*B12/(8760*VLOOKUP(A12,MFR_E_10_Attachment_2__FPL102!$A$16:$B$32,2,FALSE))</f>
        <v>1.00951985526693</v>
      </c>
      <c r="F12" s="172">
        <v>0</v>
      </c>
      <c r="G12" s="172">
        <v>0</v>
      </c>
      <c r="H12" s="172">
        <f>1</f>
        <v>1</v>
      </c>
      <c r="I12" s="173">
        <v>1.0192635511103794</v>
      </c>
      <c r="J12" s="173">
        <v>1.0290819050976752</v>
      </c>
      <c r="K12" s="173">
        <v>1.0569853616547027</v>
      </c>
      <c r="L12" s="168">
        <f t="shared" si="3"/>
        <v>1.0569853616547027</v>
      </c>
      <c r="M12" s="164">
        <f t="shared" si="0"/>
        <v>0</v>
      </c>
      <c r="N12" s="164">
        <f t="shared" si="0"/>
        <v>0</v>
      </c>
      <c r="O12" s="164">
        <f t="shared" si="0"/>
        <v>75132.817392592508</v>
      </c>
      <c r="P12" s="164">
        <f t="shared" si="4"/>
        <v>75132.817392592508</v>
      </c>
      <c r="Q12" s="169">
        <f t="shared" si="1"/>
        <v>6.5818231708764726E-4</v>
      </c>
      <c r="R12" s="170">
        <v>7.0855217070434583E-4</v>
      </c>
      <c r="S12" s="182">
        <f>1000*($B$12+$B$23)/(8760*(MFR_E_10_Attachment_2__FPL102!D19+MFR_E_10_Attachment_2__FPL102!D30))</f>
        <v>1.012918410078292</v>
      </c>
      <c r="T12" s="105">
        <f>D12/($D$12+$D$23)</f>
        <v>0.67996827472969834</v>
      </c>
      <c r="U12" s="106">
        <f>L12*T12</f>
        <v>0.71871651277889448</v>
      </c>
      <c r="V12" s="106"/>
      <c r="W12" s="103"/>
      <c r="X12" s="104"/>
    </row>
    <row r="13" spans="1:24" x14ac:dyDescent="0.3">
      <c r="A13" s="123" t="s">
        <v>19</v>
      </c>
      <c r="B13" s="94">
        <v>26017376.182999998</v>
      </c>
      <c r="C13" s="164">
        <v>0</v>
      </c>
      <c r="D13" s="164">
        <f t="shared" si="2"/>
        <v>26017376.182999998</v>
      </c>
      <c r="E13" s="182">
        <f>1000*B13/(8760*VLOOKUP(A13,MFR_E_10_Attachment_2__FPL102!$A$16:$B$32,2,FALSE))</f>
        <v>0.77062718000407571</v>
      </c>
      <c r="F13" s="172">
        <v>0</v>
      </c>
      <c r="G13" s="172">
        <v>2.8999999999999998E-3</v>
      </c>
      <c r="H13" s="172">
        <v>0.99709999999999999</v>
      </c>
      <c r="I13" s="173">
        <v>1.0192635511103794</v>
      </c>
      <c r="J13" s="173">
        <v>1.0290819050976752</v>
      </c>
      <c r="K13" s="173">
        <v>1.0569853616547027</v>
      </c>
      <c r="L13" s="174">
        <f t="shared" si="3"/>
        <v>1.0569044416306874</v>
      </c>
      <c r="M13" s="164">
        <f t="shared" si="0"/>
        <v>0</v>
      </c>
      <c r="N13" s="164">
        <f t="shared" si="0"/>
        <v>77644.632039329095</v>
      </c>
      <c r="O13" s="164">
        <f t="shared" si="0"/>
        <v>27420235.815349825</v>
      </c>
      <c r="P13" s="164">
        <f t="shared" si="4"/>
        <v>27497880.447389156</v>
      </c>
      <c r="Q13" s="169">
        <f t="shared" si="1"/>
        <v>0.24088832677857336</v>
      </c>
      <c r="R13" s="170">
        <v>0.2229359221586413</v>
      </c>
      <c r="S13" s="170"/>
      <c r="T13" s="105">
        <f>D23/($D$12+$D$23)</f>
        <v>0.32003172527030155</v>
      </c>
      <c r="U13" s="106">
        <f>L23*T13</f>
        <v>0.33826884887580816</v>
      </c>
      <c r="V13" s="171">
        <f>U12+U13</f>
        <v>1.0569853616547027</v>
      </c>
      <c r="W13" s="103" t="s">
        <v>55</v>
      </c>
      <c r="X13" s="104"/>
    </row>
    <row r="14" spans="1:24" x14ac:dyDescent="0.3">
      <c r="A14" s="123" t="s">
        <v>20</v>
      </c>
      <c r="B14" s="94">
        <v>10588644.419</v>
      </c>
      <c r="C14" s="164">
        <v>0</v>
      </c>
      <c r="D14" s="164">
        <f t="shared" si="2"/>
        <v>10588644.419</v>
      </c>
      <c r="E14" s="182">
        <f>1000*B14/(8760*VLOOKUP(A14,MFR_E_10_Attachment_2__FPL102!$A$16:$B$32,2,FALSE))</f>
        <v>0.77636089376529827</v>
      </c>
      <c r="F14" s="172">
        <v>0</v>
      </c>
      <c r="G14" s="172">
        <v>3.8420000000000003E-2</v>
      </c>
      <c r="H14" s="172">
        <v>0.96157999999999999</v>
      </c>
      <c r="I14" s="173">
        <v>1.0192635511103794</v>
      </c>
      <c r="J14" s="173">
        <v>1.0290819050976752</v>
      </c>
      <c r="K14" s="173">
        <v>1.0569853616547027</v>
      </c>
      <c r="L14" s="174">
        <f t="shared" si="3"/>
        <v>1.0559133108537815</v>
      </c>
      <c r="M14" s="164">
        <f t="shared" si="0"/>
        <v>0</v>
      </c>
      <c r="N14" s="164">
        <f t="shared" si="0"/>
        <v>418646.69469790737</v>
      </c>
      <c r="O14" s="164">
        <f t="shared" si="0"/>
        <v>10762043.891221799</v>
      </c>
      <c r="P14" s="164">
        <f t="shared" si="4"/>
        <v>11180690.585919706</v>
      </c>
      <c r="Q14" s="169">
        <f t="shared" si="1"/>
        <v>9.7945652670363023E-2</v>
      </c>
      <c r="R14" s="170">
        <v>9.1639714829028066E-2</v>
      </c>
      <c r="S14" s="170"/>
      <c r="T14" s="105"/>
      <c r="U14" s="103"/>
      <c r="V14" s="103"/>
      <c r="W14" s="103"/>
      <c r="X14" s="104"/>
    </row>
    <row r="15" spans="1:24" x14ac:dyDescent="0.3">
      <c r="A15" s="123" t="s">
        <v>21</v>
      </c>
      <c r="B15" s="94">
        <v>2517488.5920000002</v>
      </c>
      <c r="C15" s="164">
        <v>0</v>
      </c>
      <c r="D15" s="164">
        <f t="shared" si="2"/>
        <v>2517488.5920000002</v>
      </c>
      <c r="E15" s="182">
        <f>1000*B15/(8760*VLOOKUP(A15,MFR_E_10_Attachment_2__FPL102!$A$16:$B$32,2,FALSE))</f>
        <v>0.91995029591318211</v>
      </c>
      <c r="F15" s="172">
        <v>0</v>
      </c>
      <c r="G15" s="172">
        <v>0.34175</v>
      </c>
      <c r="H15" s="172">
        <v>0.65825</v>
      </c>
      <c r="I15" s="173">
        <v>1.0192635511103794</v>
      </c>
      <c r="J15" s="173">
        <v>1.0290819050976752</v>
      </c>
      <c r="K15" s="173">
        <v>1.0569853616547027</v>
      </c>
      <c r="L15" s="174">
        <f t="shared" si="3"/>
        <v>1.0474493553763387</v>
      </c>
      <c r="M15" s="164">
        <f t="shared" si="0"/>
        <v>0</v>
      </c>
      <c r="N15" s="164">
        <f t="shared" si="0"/>
        <v>885372.39357134304</v>
      </c>
      <c r="O15" s="164">
        <f t="shared" si="0"/>
        <v>1751569.4092863433</v>
      </c>
      <c r="P15" s="164">
        <f t="shared" si="4"/>
        <v>2636941.8028576863</v>
      </c>
      <c r="Q15" s="169">
        <f t="shared" si="1"/>
        <v>2.3100271307026281E-2</v>
      </c>
      <c r="R15" s="170">
        <v>2.1706704159271034E-2</v>
      </c>
      <c r="S15" s="170"/>
      <c r="T15" s="105"/>
      <c r="U15" s="103"/>
      <c r="V15" s="103"/>
      <c r="W15" s="103"/>
      <c r="X15" s="104"/>
    </row>
    <row r="16" spans="1:24" x14ac:dyDescent="0.3">
      <c r="A16" s="123" t="s">
        <v>22</v>
      </c>
      <c r="B16" s="94">
        <v>175810.04199999999</v>
      </c>
      <c r="C16" s="164">
        <v>0</v>
      </c>
      <c r="D16" s="164">
        <f t="shared" si="2"/>
        <v>175810.04199999999</v>
      </c>
      <c r="E16" s="182">
        <f>1000*B16/(8760*VLOOKUP(A16,MFR_E_10_Attachment_2__FPL102!$A$16:$B$32,2,FALSE))</f>
        <v>0.93049396294556996</v>
      </c>
      <c r="F16" s="172">
        <v>1</v>
      </c>
      <c r="G16" s="172">
        <v>0</v>
      </c>
      <c r="H16" s="172">
        <v>0</v>
      </c>
      <c r="I16" s="173">
        <v>1.0192635511103794</v>
      </c>
      <c r="J16" s="173">
        <v>1.0290819050976752</v>
      </c>
      <c r="K16" s="173">
        <v>1.0569853616547027</v>
      </c>
      <c r="L16" s="174">
        <f t="shared" si="3"/>
        <v>1.0192635511103794</v>
      </c>
      <c r="M16" s="164">
        <f t="shared" si="0"/>
        <v>179196.76772978491</v>
      </c>
      <c r="N16" s="164">
        <f t="shared" si="0"/>
        <v>0</v>
      </c>
      <c r="O16" s="164">
        <f t="shared" si="0"/>
        <v>0</v>
      </c>
      <c r="P16" s="164">
        <f t="shared" si="4"/>
        <v>179196.76772978491</v>
      </c>
      <c r="Q16" s="169">
        <f t="shared" si="1"/>
        <v>1.5698086121635991E-3</v>
      </c>
      <c r="R16" s="170">
        <v>1.1773564649007417E-3</v>
      </c>
      <c r="S16" s="170"/>
      <c r="T16" s="105"/>
      <c r="U16" s="103"/>
      <c r="V16" s="103"/>
      <c r="W16" s="103"/>
      <c r="X16" s="104"/>
    </row>
    <row r="17" spans="1:24" x14ac:dyDescent="0.3">
      <c r="A17" s="123" t="s">
        <v>23</v>
      </c>
      <c r="B17" s="94">
        <v>6017304.017</v>
      </c>
      <c r="C17" s="164">
        <v>0</v>
      </c>
      <c r="D17" s="164">
        <f t="shared" si="2"/>
        <v>6017304.017</v>
      </c>
      <c r="E17" s="182">
        <f>1000*B17/(8760*VLOOKUP(A17,MFR_E_10_Attachment_2__FPL102!$A$16:$B$32,2,FALSE))</f>
        <v>0.6947566022208469</v>
      </c>
      <c r="F17" s="172">
        <v>0</v>
      </c>
      <c r="G17" s="172">
        <v>0</v>
      </c>
      <c r="H17" s="172">
        <v>1</v>
      </c>
      <c r="I17" s="173">
        <v>1.0192635511103794</v>
      </c>
      <c r="J17" s="173">
        <v>1.0290819050976752</v>
      </c>
      <c r="K17" s="173">
        <v>1.0569853616547027</v>
      </c>
      <c r="L17" s="174">
        <f t="shared" si="3"/>
        <v>1.0569853616547027</v>
      </c>
      <c r="M17" s="164">
        <f t="shared" si="0"/>
        <v>0</v>
      </c>
      <c r="N17" s="164">
        <f t="shared" si="0"/>
        <v>0</v>
      </c>
      <c r="O17" s="164">
        <f t="shared" si="0"/>
        <v>6360202.2625950407</v>
      </c>
      <c r="P17" s="164">
        <f t="shared" si="4"/>
        <v>6360202.2625950407</v>
      </c>
      <c r="Q17" s="169">
        <f t="shared" si="1"/>
        <v>5.5716966401869863E-2</v>
      </c>
      <c r="R17" s="170">
        <v>5.1695924120010305E-2</v>
      </c>
      <c r="S17" s="170"/>
      <c r="T17" s="105"/>
      <c r="U17" s="103"/>
      <c r="V17" s="103"/>
      <c r="W17" s="103"/>
      <c r="X17" s="104"/>
    </row>
    <row r="18" spans="1:24" x14ac:dyDescent="0.3">
      <c r="A18" s="123" t="s">
        <v>24</v>
      </c>
      <c r="B18" s="94">
        <v>91241.144</v>
      </c>
      <c r="C18" s="164">
        <v>0</v>
      </c>
      <c r="D18" s="164">
        <f t="shared" si="2"/>
        <v>91241.144</v>
      </c>
      <c r="E18" s="182">
        <f>1000*B18/(8760*VLOOKUP(A18,MFR_E_10_Attachment_2__FPL102!$A$16:$B$32,2,FALSE))</f>
        <v>0.49848762135357833</v>
      </c>
      <c r="F18" s="172">
        <v>0</v>
      </c>
      <c r="G18" s="172">
        <v>1</v>
      </c>
      <c r="H18" s="172">
        <v>0</v>
      </c>
      <c r="I18" s="173">
        <v>1.0192635511103794</v>
      </c>
      <c r="J18" s="173">
        <v>1.0290819050976752</v>
      </c>
      <c r="K18" s="173">
        <v>1.0569853616547027</v>
      </c>
      <c r="L18" s="174">
        <f t="shared" si="3"/>
        <v>1.0290819050976752</v>
      </c>
      <c r="M18" s="164">
        <f t="shared" si="0"/>
        <v>0</v>
      </c>
      <c r="N18" s="164">
        <f t="shared" si="0"/>
        <v>93894.61029081131</v>
      </c>
      <c r="O18" s="164">
        <f t="shared" si="0"/>
        <v>0</v>
      </c>
      <c r="P18" s="164">
        <f t="shared" si="4"/>
        <v>93894.61029081131</v>
      </c>
      <c r="Q18" s="169">
        <f t="shared" si="1"/>
        <v>8.2254032669006223E-4</v>
      </c>
      <c r="R18" s="170">
        <v>7.4772581291391411E-4</v>
      </c>
      <c r="S18" s="170"/>
      <c r="T18" s="105"/>
      <c r="U18" s="103"/>
      <c r="V18" s="103"/>
      <c r="W18" s="103"/>
      <c r="X18" s="104"/>
    </row>
    <row r="19" spans="1:24" x14ac:dyDescent="0.3">
      <c r="A19" s="116" t="s">
        <v>139</v>
      </c>
      <c r="B19" s="94">
        <v>97314.767999999996</v>
      </c>
      <c r="C19" s="164">
        <v>0</v>
      </c>
      <c r="D19" s="164">
        <f t="shared" si="2"/>
        <v>97314.767999999996</v>
      </c>
      <c r="E19" s="181">
        <f>1000*B19/(8760*VLOOKUP(A19,MFR_E_10_Attachment_2__FPL102!$A$16:$B$32,2,FALSE))</f>
        <v>3.0574928603220952</v>
      </c>
      <c r="F19" s="166">
        <v>0</v>
      </c>
      <c r="G19" s="166">
        <v>0</v>
      </c>
      <c r="H19" s="166">
        <f>1</f>
        <v>1</v>
      </c>
      <c r="I19" s="167">
        <v>1.0192635511103794</v>
      </c>
      <c r="J19" s="167">
        <v>1.0290819050976752</v>
      </c>
      <c r="K19" s="167">
        <v>1.0569853616547027</v>
      </c>
      <c r="L19" s="168">
        <f t="shared" si="3"/>
        <v>1.0569853616547027</v>
      </c>
      <c r="M19" s="164">
        <f t="shared" si="0"/>
        <v>0</v>
      </c>
      <c r="N19" s="164">
        <f t="shared" si="0"/>
        <v>0</v>
      </c>
      <c r="O19" s="164">
        <f t="shared" si="0"/>
        <v>102860.28524882348</v>
      </c>
      <c r="P19" s="164">
        <f t="shared" si="4"/>
        <v>102860.28524882348</v>
      </c>
      <c r="Q19" s="169">
        <f t="shared" si="1"/>
        <v>9.0108188712808386E-4</v>
      </c>
      <c r="R19" s="170">
        <v>8.1923927440783113E-4</v>
      </c>
      <c r="S19" s="182">
        <f>1000*($B$19+$B$22)/(8760*(MFR_E_10_Attachment_2__FPL102!D26+MFR_E_10_Attachment_2__FPL102!D29))</f>
        <v>3.1162698586955284</v>
      </c>
      <c r="T19" s="105">
        <f>D19/($D$19+$D$22)</f>
        <v>0.14555940651252181</v>
      </c>
      <c r="U19" s="106">
        <f>L19*T19</f>
        <v>0.15385416193488174</v>
      </c>
      <c r="V19" s="106"/>
      <c r="W19" s="103"/>
      <c r="X19" s="104"/>
    </row>
    <row r="20" spans="1:24" ht="15" thickBot="1" x14ac:dyDescent="0.35">
      <c r="A20" s="123" t="s">
        <v>25</v>
      </c>
      <c r="B20" s="94">
        <v>10819.466</v>
      </c>
      <c r="C20" s="164">
        <v>0</v>
      </c>
      <c r="D20" s="164">
        <f t="shared" si="2"/>
        <v>10819.466</v>
      </c>
      <c r="E20" s="182">
        <f>1000*B20/(8760*VLOOKUP(A20,MFR_E_10_Attachment_2__FPL102!$A$16:$B$32,2,FALSE))</f>
        <v>1.5137604294843179</v>
      </c>
      <c r="F20" s="172">
        <v>0</v>
      </c>
      <c r="G20" s="172">
        <v>1</v>
      </c>
      <c r="H20" s="172">
        <v>0</v>
      </c>
      <c r="I20" s="173">
        <v>1.0192635511103794</v>
      </c>
      <c r="J20" s="173">
        <v>1.0290819050976752</v>
      </c>
      <c r="K20" s="173">
        <v>1.0569853616547027</v>
      </c>
      <c r="L20" s="174">
        <f t="shared" si="3"/>
        <v>1.0290819050976752</v>
      </c>
      <c r="M20" s="164">
        <f t="shared" si="0"/>
        <v>0</v>
      </c>
      <c r="N20" s="164">
        <f t="shared" si="0"/>
        <v>11134.116683419523</v>
      </c>
      <c r="O20" s="164">
        <f t="shared" si="0"/>
        <v>0</v>
      </c>
      <c r="P20" s="164">
        <f t="shared" si="4"/>
        <v>11134.116683419523</v>
      </c>
      <c r="Q20" s="169">
        <f t="shared" si="1"/>
        <v>9.7537653607806819E-5</v>
      </c>
      <c r="R20" s="170">
        <v>8.8140828672589742E-5</v>
      </c>
      <c r="S20" s="170"/>
      <c r="T20" s="107">
        <f>D22/($D$19+$D$22)</f>
        <v>0.85444059348747814</v>
      </c>
      <c r="U20" s="108">
        <f>L22*T20</f>
        <v>0.90313119971982092</v>
      </c>
      <c r="V20" s="175">
        <f>U19+U20</f>
        <v>1.0569853616547027</v>
      </c>
      <c r="W20" s="37" t="s">
        <v>56</v>
      </c>
      <c r="X20" s="109"/>
    </row>
    <row r="21" spans="1:24" x14ac:dyDescent="0.3">
      <c r="A21" s="123" t="s">
        <v>26</v>
      </c>
      <c r="B21" s="94">
        <v>57507710.079999998</v>
      </c>
      <c r="C21" s="164">
        <v>0</v>
      </c>
      <c r="D21" s="164">
        <f t="shared" si="2"/>
        <v>57507710.079999998</v>
      </c>
      <c r="E21" s="182">
        <f>1000*B21/(8760*VLOOKUP(A21,MFR_E_10_Attachment_2__FPL102!$A$16:$B$32,2,FALSE))</f>
        <v>0.62861485309930165</v>
      </c>
      <c r="F21" s="172">
        <v>0</v>
      </c>
      <c r="G21" s="172">
        <v>0</v>
      </c>
      <c r="H21" s="172">
        <v>1</v>
      </c>
      <c r="I21" s="173">
        <v>1.0192635511103794</v>
      </c>
      <c r="J21" s="173">
        <v>1.0290819050976752</v>
      </c>
      <c r="K21" s="173">
        <v>1.0569853616547027</v>
      </c>
      <c r="L21" s="174">
        <f t="shared" si="3"/>
        <v>1.0569853616547027</v>
      </c>
      <c r="M21" s="164">
        <f t="shared" si="0"/>
        <v>0</v>
      </c>
      <c r="N21" s="164">
        <f t="shared" si="0"/>
        <v>0</v>
      </c>
      <c r="O21" s="164">
        <f t="shared" si="0"/>
        <v>60784807.736842588</v>
      </c>
      <c r="P21" s="164">
        <f t="shared" si="4"/>
        <v>60784807.736842588</v>
      </c>
      <c r="Q21" s="169">
        <f t="shared" si="1"/>
        <v>0.53249015527942412</v>
      </c>
      <c r="R21" s="170">
        <v>0.52257539845841039</v>
      </c>
      <c r="S21" s="170"/>
      <c r="T21" s="93"/>
      <c r="U21" s="93"/>
      <c r="V21" s="93"/>
      <c r="W21" s="93"/>
    </row>
    <row r="22" spans="1:24" x14ac:dyDescent="0.3">
      <c r="A22" s="116" t="s">
        <v>27</v>
      </c>
      <c r="B22" s="94">
        <v>571242.28599999996</v>
      </c>
      <c r="C22" s="164">
        <v>0</v>
      </c>
      <c r="D22" s="164">
        <f t="shared" si="2"/>
        <v>571242.28599999996</v>
      </c>
      <c r="E22" s="182">
        <f>1000*B22/(8760*VLOOKUP(A22,MFR_E_10_Attachment_2__FPL102!$A$16:$B$32,2,FALSE))</f>
        <v>3.1265089172594211</v>
      </c>
      <c r="F22" s="166">
        <v>0</v>
      </c>
      <c r="G22" s="166">
        <v>0</v>
      </c>
      <c r="H22" s="166">
        <v>1</v>
      </c>
      <c r="I22" s="167">
        <v>1.0192635511103794</v>
      </c>
      <c r="J22" s="167">
        <v>1.0290819050976752</v>
      </c>
      <c r="K22" s="167">
        <v>1.0569853616547027</v>
      </c>
      <c r="L22" s="168">
        <f t="shared" si="3"/>
        <v>1.0569853616547027</v>
      </c>
      <c r="M22" s="164">
        <f t="shared" si="0"/>
        <v>0</v>
      </c>
      <c r="N22" s="164">
        <f t="shared" si="0"/>
        <v>0</v>
      </c>
      <c r="O22" s="164">
        <f t="shared" si="0"/>
        <v>603794.73426016909</v>
      </c>
      <c r="P22" s="164">
        <f t="shared" si="4"/>
        <v>603794.73426016909</v>
      </c>
      <c r="Q22" s="169">
        <f t="shared" si="1"/>
        <v>5.2893932509425557E-3</v>
      </c>
      <c r="R22" s="170">
        <v>4.6725120835611807E-3</v>
      </c>
      <c r="S22" s="170"/>
      <c r="T22" s="93"/>
      <c r="U22" s="93"/>
      <c r="V22" s="93"/>
      <c r="W22" s="93"/>
    </row>
    <row r="23" spans="1:24" x14ac:dyDescent="0.3">
      <c r="A23" s="115" t="s">
        <v>28</v>
      </c>
      <c r="B23" s="94">
        <v>33455.311999999998</v>
      </c>
      <c r="C23" s="164">
        <v>0</v>
      </c>
      <c r="D23" s="164">
        <f t="shared" si="2"/>
        <v>33455.311999999998</v>
      </c>
      <c r="E23" s="182">
        <f>1000*B23/(8760*VLOOKUP(A23,MFR_E_10_Attachment_2__FPL102!$A$16:$B$32,2,FALSE))</f>
        <v>1.0202157919371351</v>
      </c>
      <c r="F23" s="166">
        <v>0</v>
      </c>
      <c r="G23" s="166">
        <v>0</v>
      </c>
      <c r="H23" s="166">
        <v>1</v>
      </c>
      <c r="I23" s="167">
        <v>1.0192635511103794</v>
      </c>
      <c r="J23" s="167">
        <v>1.0290819050976752</v>
      </c>
      <c r="K23" s="167">
        <v>1.0569853616547027</v>
      </c>
      <c r="L23" s="168">
        <f t="shared" si="3"/>
        <v>1.0569853616547027</v>
      </c>
      <c r="M23" s="164">
        <f t="shared" si="0"/>
        <v>0</v>
      </c>
      <c r="N23" s="164">
        <f t="shared" si="0"/>
        <v>0</v>
      </c>
      <c r="O23" s="164">
        <f t="shared" si="0"/>
        <v>35361.775053590914</v>
      </c>
      <c r="P23" s="164">
        <f t="shared" si="4"/>
        <v>35361.775053590914</v>
      </c>
      <c r="Q23" s="169">
        <f t="shared" si="1"/>
        <v>3.0977801510474577E-4</v>
      </c>
      <c r="R23" s="170">
        <v>2.8205344056344173E-4</v>
      </c>
      <c r="S23" s="170"/>
      <c r="T23" s="93"/>
      <c r="U23" s="93"/>
      <c r="V23" s="93"/>
      <c r="W23" s="93"/>
    </row>
    <row r="24" spans="1:24" x14ac:dyDescent="0.3">
      <c r="A24" s="111" t="s">
        <v>29</v>
      </c>
      <c r="B24" s="94">
        <v>11856.925999999999</v>
      </c>
      <c r="C24" s="164">
        <v>0</v>
      </c>
      <c r="D24" s="164">
        <f t="shared" si="2"/>
        <v>11856.925999999999</v>
      </c>
      <c r="E24" s="182">
        <f>1000*B24/(8760*VLOOKUP(A24,MFR_E_10_Attachment_2__FPL102!$A$16:$B$32,2,FALSE))</f>
        <v>0.81305192392116021</v>
      </c>
      <c r="F24" s="172">
        <v>0</v>
      </c>
      <c r="G24" s="172">
        <v>1</v>
      </c>
      <c r="H24" s="172">
        <v>0</v>
      </c>
      <c r="I24" s="173">
        <v>1.0192635511103794</v>
      </c>
      <c r="J24" s="173">
        <v>1.0290819050976752</v>
      </c>
      <c r="K24" s="173">
        <v>1.0569853616547027</v>
      </c>
      <c r="L24" s="174">
        <f t="shared" si="3"/>
        <v>1.0290819050976752</v>
      </c>
      <c r="M24" s="164">
        <f t="shared" si="0"/>
        <v>0</v>
      </c>
      <c r="N24" s="164">
        <f t="shared" si="0"/>
        <v>12201.747996682157</v>
      </c>
      <c r="O24" s="164">
        <f t="shared" si="0"/>
        <v>0</v>
      </c>
      <c r="P24" s="164">
        <f t="shared" si="4"/>
        <v>12201.747996682157</v>
      </c>
      <c r="Q24" s="169">
        <f t="shared" si="1"/>
        <v>1.0689037158039024E-4</v>
      </c>
      <c r="R24" s="170">
        <v>1.1577238361148411E-4</v>
      </c>
      <c r="S24" s="170"/>
      <c r="T24" s="93"/>
      <c r="U24" s="93"/>
      <c r="V24" s="93"/>
      <c r="W24" s="93"/>
    </row>
    <row r="25" spans="1:24" x14ac:dyDescent="0.3">
      <c r="A25" s="111" t="s">
        <v>30</v>
      </c>
      <c r="B25" s="94">
        <v>89667.754000000001</v>
      </c>
      <c r="C25" s="164">
        <v>0</v>
      </c>
      <c r="D25" s="164">
        <f t="shared" si="2"/>
        <v>89667.754000000001</v>
      </c>
      <c r="E25" s="182">
        <f>1000*B25/(8760*VLOOKUP(A25,MFR_E_10_Attachment_2__FPL102!$A$16:$B$32,2,FALSE))</f>
        <v>1.6973779931299782</v>
      </c>
      <c r="F25" s="172">
        <v>1</v>
      </c>
      <c r="G25" s="172">
        <v>0</v>
      </c>
      <c r="H25" s="172">
        <v>0</v>
      </c>
      <c r="I25" s="173">
        <v>1.0192635511103794</v>
      </c>
      <c r="J25" s="173">
        <v>1.0290819050976752</v>
      </c>
      <c r="K25" s="173">
        <v>1.0569853616547027</v>
      </c>
      <c r="L25" s="174">
        <f t="shared" si="3"/>
        <v>1.0192635511103794</v>
      </c>
      <c r="M25" s="164">
        <f t="shared" ref="M25:O25" si="5">$D25*F25*I25</f>
        <v>91395.073362131923</v>
      </c>
      <c r="N25" s="164">
        <f t="shared" si="5"/>
        <v>0</v>
      </c>
      <c r="O25" s="164">
        <f t="shared" si="5"/>
        <v>0</v>
      </c>
      <c r="P25" s="164">
        <f t="shared" si="4"/>
        <v>91395.073362131923</v>
      </c>
      <c r="Q25" s="169">
        <f t="shared" si="1"/>
        <v>8.0064375652994283E-4</v>
      </c>
      <c r="R25" s="170">
        <v>6.8962957565946636E-4</v>
      </c>
      <c r="S25" s="170"/>
      <c r="T25" s="93"/>
      <c r="U25" s="93"/>
      <c r="V25" s="93"/>
      <c r="W25" s="93"/>
    </row>
    <row r="26" spans="1:24" ht="15" thickBot="1" x14ac:dyDescent="0.35">
      <c r="B26" s="95"/>
      <c r="C26" s="95"/>
      <c r="D26" s="95"/>
      <c r="E26" s="93"/>
      <c r="F26" s="93"/>
      <c r="G26" s="93"/>
      <c r="H26" s="93"/>
      <c r="I26" s="93"/>
      <c r="J26" s="93"/>
      <c r="K26" s="93"/>
      <c r="L26" s="93"/>
      <c r="M26" s="95"/>
      <c r="N26" s="95"/>
      <c r="O26" s="95"/>
      <c r="P26" s="95"/>
      <c r="Q26" s="95"/>
      <c r="R26" s="93"/>
      <c r="S26" s="93"/>
      <c r="T26" s="93"/>
      <c r="U26" s="93"/>
      <c r="V26" s="93"/>
      <c r="W26" s="93"/>
    </row>
    <row r="27" spans="1:24" ht="15" thickBot="1" x14ac:dyDescent="0.35">
      <c r="A27" s="5" t="s">
        <v>15</v>
      </c>
      <c r="B27" s="177">
        <f>SUM(B9:B25)</f>
        <v>108127536.433</v>
      </c>
      <c r="C27" s="177">
        <v>0</v>
      </c>
      <c r="D27" s="177">
        <f>SUM(D9:D25)</f>
        <v>108127536.433</v>
      </c>
      <c r="E27" s="183"/>
      <c r="F27" s="178" t="s">
        <v>2</v>
      </c>
      <c r="G27" s="178" t="s">
        <v>2</v>
      </c>
      <c r="H27" s="178" t="s">
        <v>2</v>
      </c>
      <c r="I27" s="178" t="s">
        <v>2</v>
      </c>
      <c r="J27" s="178" t="s">
        <v>2</v>
      </c>
      <c r="K27" s="178" t="s">
        <v>2</v>
      </c>
      <c r="L27" s="178"/>
      <c r="M27" s="177">
        <f>SUM(M9:M25)</f>
        <v>1832883.1209064808</v>
      </c>
      <c r="N27" s="177">
        <f t="shared" ref="N27:P27" si="6">SUM(N9:N25)</f>
        <v>2559704.4524290399</v>
      </c>
      <c r="O27" s="177">
        <f t="shared" si="6"/>
        <v>109759396.52286954</v>
      </c>
      <c r="P27" s="177">
        <f t="shared" si="6"/>
        <v>114151984.09620507</v>
      </c>
      <c r="Q27" s="179">
        <f>SUM(Q9:Q25)</f>
        <v>1</v>
      </c>
      <c r="R27" s="180">
        <v>0.95400013006967799</v>
      </c>
      <c r="S27" s="184"/>
      <c r="T27" s="93"/>
      <c r="U27" s="93"/>
      <c r="V27" s="93"/>
      <c r="W27" s="93"/>
    </row>
    <row r="29" spans="1:24" x14ac:dyDescent="0.3">
      <c r="A29" s="5" t="s">
        <v>31</v>
      </c>
      <c r="B29" s="6">
        <v>0</v>
      </c>
      <c r="C29" s="6">
        <v>0</v>
      </c>
      <c r="D29" s="6">
        <v>0</v>
      </c>
      <c r="E29" s="6"/>
      <c r="F29" s="7">
        <v>1</v>
      </c>
      <c r="G29" s="7">
        <v>0</v>
      </c>
      <c r="H29" s="7">
        <v>0</v>
      </c>
      <c r="I29" s="8">
        <v>1.0192635511103794</v>
      </c>
      <c r="J29" s="8">
        <v>1.0290819050976752</v>
      </c>
      <c r="K29" s="8">
        <v>1.0569853616547027</v>
      </c>
      <c r="L29" s="8"/>
      <c r="M29" s="6">
        <v>0</v>
      </c>
      <c r="N29" s="6">
        <v>0</v>
      </c>
      <c r="O29" s="6">
        <v>0</v>
      </c>
      <c r="P29" s="6">
        <v>0</v>
      </c>
      <c r="Q29" s="10" t="s">
        <v>2</v>
      </c>
      <c r="R29" s="9">
        <v>0</v>
      </c>
    </row>
    <row r="30" spans="1:24" x14ac:dyDescent="0.3">
      <c r="A30" s="5" t="s">
        <v>32</v>
      </c>
      <c r="B30" s="6">
        <v>835332.07400000002</v>
      </c>
      <c r="C30" s="6">
        <v>0</v>
      </c>
      <c r="D30" s="6">
        <v>835332.07400000002</v>
      </c>
      <c r="E30" s="6"/>
      <c r="F30" s="7">
        <v>1</v>
      </c>
      <c r="G30" s="7">
        <v>0</v>
      </c>
      <c r="H30" s="7">
        <v>0</v>
      </c>
      <c r="I30" s="8">
        <v>1.0192635511103794</v>
      </c>
      <c r="J30" s="8">
        <v>1.0290819050976752</v>
      </c>
      <c r="K30" s="8">
        <v>1.0569853616547027</v>
      </c>
      <c r="L30" s="8"/>
      <c r="M30" s="6">
        <v>851423.53610163822</v>
      </c>
      <c r="N30" s="6">
        <v>0</v>
      </c>
      <c r="O30" s="6">
        <v>0</v>
      </c>
      <c r="P30" s="6">
        <v>851423.53610163822</v>
      </c>
      <c r="Q30" s="11" t="s">
        <v>2</v>
      </c>
      <c r="R30" s="9">
        <v>6.8268299654670826E-3</v>
      </c>
    </row>
    <row r="31" spans="1:24" x14ac:dyDescent="0.3">
      <c r="A31" s="5" t="s">
        <v>33</v>
      </c>
      <c r="B31" s="6">
        <v>0</v>
      </c>
      <c r="C31" s="6">
        <v>0</v>
      </c>
      <c r="D31" s="6">
        <v>0</v>
      </c>
      <c r="E31" s="6"/>
      <c r="F31" s="7">
        <v>1</v>
      </c>
      <c r="G31" s="7">
        <v>0</v>
      </c>
      <c r="H31" s="7">
        <v>0</v>
      </c>
      <c r="I31" s="8">
        <v>1.0192635511103794</v>
      </c>
      <c r="J31" s="8">
        <v>1.0290819050976752</v>
      </c>
      <c r="K31" s="8">
        <v>1.0569853616547027</v>
      </c>
      <c r="L31" s="8"/>
      <c r="M31" s="6">
        <v>0</v>
      </c>
      <c r="N31" s="6">
        <v>0</v>
      </c>
      <c r="O31" s="6">
        <v>0</v>
      </c>
      <c r="P31" s="6">
        <v>0</v>
      </c>
      <c r="Q31" s="12" t="s">
        <v>2</v>
      </c>
      <c r="R31" s="9">
        <v>0</v>
      </c>
    </row>
    <row r="32" spans="1:24" x14ac:dyDescent="0.3">
      <c r="A32" s="5" t="s">
        <v>34</v>
      </c>
      <c r="B32" s="6">
        <v>3935699.8230000003</v>
      </c>
      <c r="C32" s="6">
        <v>0</v>
      </c>
      <c r="D32" s="6">
        <v>3935699.8230000003</v>
      </c>
      <c r="E32" s="6"/>
      <c r="F32" s="7">
        <v>1</v>
      </c>
      <c r="G32" s="7">
        <v>0</v>
      </c>
      <c r="H32" s="7">
        <v>0</v>
      </c>
      <c r="I32" s="8">
        <v>1.0192635511103794</v>
      </c>
      <c r="J32" s="8">
        <v>1.0290819050976752</v>
      </c>
      <c r="K32" s="8">
        <v>1.0569853616547027</v>
      </c>
      <c r="L32" s="8"/>
      <c r="M32" s="6">
        <v>4011515.377695472</v>
      </c>
      <c r="N32" s="6">
        <v>0</v>
      </c>
      <c r="O32" s="6">
        <v>0</v>
      </c>
      <c r="P32" s="6">
        <v>4011515.377695472</v>
      </c>
      <c r="Q32" s="13" t="s">
        <v>2</v>
      </c>
      <c r="R32" s="9">
        <v>3.2164877086642188E-2</v>
      </c>
    </row>
    <row r="33" spans="1:18" x14ac:dyDescent="0.3">
      <c r="A33" s="5" t="s">
        <v>35</v>
      </c>
      <c r="B33" s="6">
        <v>0</v>
      </c>
      <c r="C33" s="6">
        <v>0</v>
      </c>
      <c r="D33" s="6">
        <v>0</v>
      </c>
      <c r="E33" s="6"/>
      <c r="F33" s="7">
        <v>1</v>
      </c>
      <c r="G33" s="7">
        <v>0</v>
      </c>
      <c r="H33" s="7">
        <v>0</v>
      </c>
      <c r="I33" s="8">
        <v>1.0192635511103794</v>
      </c>
      <c r="J33" s="8">
        <v>1.0290819050976752</v>
      </c>
      <c r="K33" s="8">
        <v>1.0569853616547027</v>
      </c>
      <c r="L33" s="8"/>
      <c r="M33" s="6">
        <v>0</v>
      </c>
      <c r="N33" s="6">
        <v>0</v>
      </c>
      <c r="O33" s="6">
        <v>0</v>
      </c>
      <c r="P33" s="6">
        <v>0</v>
      </c>
      <c r="Q33" s="14" t="s">
        <v>2</v>
      </c>
      <c r="R33" s="9">
        <v>0</v>
      </c>
    </row>
    <row r="34" spans="1:18" x14ac:dyDescent="0.3">
      <c r="A34" s="5" t="s">
        <v>36</v>
      </c>
      <c r="B34" s="6">
        <v>22320</v>
      </c>
      <c r="C34" s="6">
        <v>0</v>
      </c>
      <c r="D34" s="6">
        <v>22320</v>
      </c>
      <c r="E34" s="6"/>
      <c r="F34" s="7">
        <v>1</v>
      </c>
      <c r="G34" s="7">
        <v>0</v>
      </c>
      <c r="H34" s="7">
        <v>0</v>
      </c>
      <c r="I34" s="8">
        <v>1.0192635511103794</v>
      </c>
      <c r="J34" s="8">
        <v>1.0290819050976752</v>
      </c>
      <c r="K34" s="8">
        <v>1.0569853616547027</v>
      </c>
      <c r="L34" s="8"/>
      <c r="M34" s="6">
        <v>22749.962460783667</v>
      </c>
      <c r="N34" s="6">
        <v>0</v>
      </c>
      <c r="O34" s="6">
        <v>0</v>
      </c>
      <c r="P34" s="6">
        <v>22749.962460783667</v>
      </c>
      <c r="Q34" s="15" t="s">
        <v>2</v>
      </c>
      <c r="R34" s="9">
        <v>1.8241229993668992E-4</v>
      </c>
    </row>
    <row r="35" spans="1:18" x14ac:dyDescent="0.3">
      <c r="A35" s="5" t="s">
        <v>37</v>
      </c>
      <c r="B35" s="6">
        <v>835200</v>
      </c>
      <c r="C35" s="6">
        <v>0</v>
      </c>
      <c r="D35" s="6">
        <v>835200</v>
      </c>
      <c r="E35" s="6"/>
      <c r="F35" s="7">
        <v>1</v>
      </c>
      <c r="G35" s="7">
        <v>0</v>
      </c>
      <c r="H35" s="7">
        <v>0</v>
      </c>
      <c r="I35" s="8">
        <v>1.0192635511103794</v>
      </c>
      <c r="J35" s="8">
        <v>1.0290819050976752</v>
      </c>
      <c r="K35" s="8">
        <v>1.0569853616547027</v>
      </c>
      <c r="L35" s="8"/>
      <c r="M35" s="6">
        <v>851288.91788738884</v>
      </c>
      <c r="N35" s="6">
        <v>0</v>
      </c>
      <c r="O35" s="6">
        <v>0</v>
      </c>
      <c r="P35" s="6">
        <v>851288.91788738884</v>
      </c>
      <c r="Q35" s="16" t="s">
        <v>2</v>
      </c>
      <c r="R35" s="9">
        <v>6.825750578276139E-3</v>
      </c>
    </row>
    <row r="36" spans="1:18" x14ac:dyDescent="0.3">
      <c r="A36" s="5" t="s">
        <v>38</v>
      </c>
      <c r="B36" s="6">
        <v>0</v>
      </c>
      <c r="C36" s="6">
        <v>0</v>
      </c>
      <c r="D36" s="6">
        <v>0</v>
      </c>
      <c r="E36" s="6"/>
      <c r="F36" s="7">
        <v>1</v>
      </c>
      <c r="G36" s="7">
        <v>0</v>
      </c>
      <c r="H36" s="7">
        <v>0</v>
      </c>
      <c r="I36" s="8">
        <v>1.0192635511103794</v>
      </c>
      <c r="J36" s="8">
        <v>1.0290819050976752</v>
      </c>
      <c r="K36" s="8">
        <v>1.0569853616547027</v>
      </c>
      <c r="L36" s="8"/>
      <c r="M36" s="6">
        <v>0</v>
      </c>
      <c r="N36" s="6">
        <v>0</v>
      </c>
      <c r="O36" s="6">
        <v>0</v>
      </c>
      <c r="P36" s="6">
        <v>0</v>
      </c>
      <c r="Q36" s="17" t="s">
        <v>2</v>
      </c>
      <c r="R36" s="9">
        <v>0</v>
      </c>
    </row>
    <row r="37" spans="1:18" ht="15" x14ac:dyDescent="0.25">
      <c r="A37" s="5" t="s">
        <v>39</v>
      </c>
      <c r="B37" s="6">
        <v>0</v>
      </c>
      <c r="C37" s="6">
        <v>0</v>
      </c>
      <c r="D37" s="6">
        <v>0</v>
      </c>
      <c r="E37" s="6"/>
      <c r="F37" s="7">
        <v>1</v>
      </c>
      <c r="G37" s="7">
        <v>0</v>
      </c>
      <c r="H37" s="7">
        <v>0</v>
      </c>
      <c r="I37" s="8">
        <v>1.0192635511103794</v>
      </c>
      <c r="J37" s="8">
        <v>1.0290819050976752</v>
      </c>
      <c r="K37" s="8">
        <v>1.0569853616547027</v>
      </c>
      <c r="L37" s="8"/>
      <c r="M37" s="6">
        <v>0</v>
      </c>
      <c r="N37" s="6">
        <v>0</v>
      </c>
      <c r="O37" s="6">
        <v>0</v>
      </c>
      <c r="P37" s="6">
        <v>0</v>
      </c>
      <c r="Q37" s="18" t="s">
        <v>2</v>
      </c>
      <c r="R37" s="9">
        <v>0</v>
      </c>
    </row>
    <row r="39" spans="1:18" ht="15.75" thickBot="1" x14ac:dyDescent="0.3">
      <c r="A39" s="5" t="s">
        <v>40</v>
      </c>
      <c r="B39" s="19">
        <v>5628551.8969999999</v>
      </c>
      <c r="C39" s="19">
        <v>0</v>
      </c>
      <c r="D39" s="19">
        <v>5628551.8969999999</v>
      </c>
      <c r="E39" s="96"/>
      <c r="F39" s="20" t="s">
        <v>2</v>
      </c>
      <c r="G39" s="20" t="s">
        <v>2</v>
      </c>
      <c r="H39" s="20" t="s">
        <v>2</v>
      </c>
      <c r="I39" s="21" t="s">
        <v>2</v>
      </c>
      <c r="J39" s="21" t="s">
        <v>2</v>
      </c>
      <c r="K39" s="21" t="s">
        <v>2</v>
      </c>
      <c r="L39" s="21"/>
      <c r="M39" s="19">
        <v>5736977.7941452824</v>
      </c>
      <c r="N39" s="19">
        <v>0</v>
      </c>
      <c r="O39" s="19">
        <v>0</v>
      </c>
      <c r="P39" s="19">
        <v>5736977.7941452824</v>
      </c>
      <c r="Q39" s="22" t="s">
        <v>2</v>
      </c>
      <c r="R39" s="23">
        <v>4.5999869930322096E-2</v>
      </c>
    </row>
    <row r="41" spans="1:18" ht="15.75" thickBot="1" x14ac:dyDescent="0.3">
      <c r="A41" s="5" t="s">
        <v>41</v>
      </c>
      <c r="B41" s="24">
        <v>118316087.70799999</v>
      </c>
      <c r="C41" s="24">
        <v>0</v>
      </c>
      <c r="D41" s="24">
        <v>118316087.70799999</v>
      </c>
      <c r="E41" s="97"/>
      <c r="F41" s="25" t="s">
        <v>2</v>
      </c>
      <c r="G41" s="25" t="s">
        <v>2</v>
      </c>
      <c r="H41" s="25" t="s">
        <v>2</v>
      </c>
      <c r="I41" s="26" t="s">
        <v>2</v>
      </c>
      <c r="J41" s="26" t="s">
        <v>2</v>
      </c>
      <c r="K41" s="26" t="s">
        <v>2</v>
      </c>
      <c r="L41" s="26"/>
      <c r="M41" s="24">
        <v>7334165.5756968874</v>
      </c>
      <c r="N41" s="24">
        <v>2569886.503721559</v>
      </c>
      <c r="O41" s="24">
        <v>114813209.13969631</v>
      </c>
      <c r="P41" s="24">
        <v>124717261.21911475</v>
      </c>
      <c r="Q41" s="27" t="s">
        <v>2</v>
      </c>
      <c r="R41" s="28">
        <v>1.0000000000000002</v>
      </c>
    </row>
    <row r="44" spans="1:18" ht="27.6" thickBot="1" x14ac:dyDescent="0.35">
      <c r="A44" s="29" t="s">
        <v>42</v>
      </c>
      <c r="B44" s="30" t="s">
        <v>2</v>
      </c>
      <c r="C44" s="30" t="s">
        <v>2</v>
      </c>
      <c r="D44" s="30" t="s">
        <v>2</v>
      </c>
      <c r="E44" s="30"/>
      <c r="F44" s="31" t="s">
        <v>2</v>
      </c>
      <c r="G44" s="31" t="s">
        <v>2</v>
      </c>
      <c r="H44" s="31" t="s">
        <v>2</v>
      </c>
      <c r="I44" s="32" t="s">
        <v>2</v>
      </c>
      <c r="J44" s="32" t="s">
        <v>2</v>
      </c>
      <c r="K44" s="32" t="s">
        <v>2</v>
      </c>
      <c r="L44" s="32"/>
      <c r="M44" s="30" t="s">
        <v>2</v>
      </c>
      <c r="N44" s="30" t="s">
        <v>2</v>
      </c>
      <c r="O44" s="30" t="s">
        <v>2</v>
      </c>
      <c r="P44" s="33">
        <v>0.95400013006967788</v>
      </c>
      <c r="Q44" s="34" t="s">
        <v>2</v>
      </c>
      <c r="R44" s="35" t="s">
        <v>2</v>
      </c>
    </row>
    <row r="46" spans="1:18" x14ac:dyDescent="0.3">
      <c r="A46" s="36" t="s">
        <v>2</v>
      </c>
    </row>
    <row r="47" spans="1:18" x14ac:dyDescent="0.3">
      <c r="A47" s="36" t="s">
        <v>43</v>
      </c>
    </row>
  </sheetData>
  <mergeCells count="7">
    <mergeCell ref="T7:X7"/>
    <mergeCell ref="Q7:R7"/>
    <mergeCell ref="A7:A8"/>
    <mergeCell ref="B7:D7"/>
    <mergeCell ref="F7:H7"/>
    <mergeCell ref="I7:K7"/>
    <mergeCell ref="M7:P7"/>
  </mergeCells>
  <pageMargins left="0.5" right="0.5" top="0.75" bottom="0.5" header="0.75" footer="0.5"/>
  <pageSetup scale="64" orientation="landscape" r:id="rId1"/>
  <headerFooter>
    <oddHeader>&amp;R&amp;10&amp;"Arial,"
&amp;10&amp;"Arial,"
&amp;10&amp;"Arial,"FLORIDA POWER &amp;&amp; LIGHT COMPANY
&amp;10&amp;"Arial,"AND SUBSIDIARIES
&amp;10&amp;"Arial,"DOCKET NO. 120015-El
&amp;10&amp;"Arial,"MFR NO. E-10
&amp;10&amp;"Arial,"ATTACHMENT NO. 2 OF 2
&amp;10&amp;"Arial,"PAGE &amp;P OF 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V54"/>
  <sheetViews>
    <sheetView showGridLines="0" workbookViewId="0">
      <pane xSplit="1" ySplit="15" topLeftCell="B16" activePane="bottomRight" state="frozen"/>
      <selection pane="topRight"/>
      <selection pane="bottomLeft"/>
      <selection pane="bottomRight" sqref="A1:A2"/>
    </sheetView>
  </sheetViews>
  <sheetFormatPr defaultRowHeight="14.4" x14ac:dyDescent="0.3"/>
  <cols>
    <col min="1" max="1" width="30.109375" customWidth="1"/>
    <col min="2" max="10" width="10.88671875" customWidth="1"/>
    <col min="11" max="11" width="10.88671875" style="92" customWidth="1"/>
    <col min="12" max="17" width="10.88671875" customWidth="1"/>
  </cols>
  <sheetData>
    <row r="1" spans="1:22" s="196" customFormat="1" x14ac:dyDescent="0.3">
      <c r="A1" s="196" t="s">
        <v>142</v>
      </c>
    </row>
    <row r="2" spans="1:22" s="196" customFormat="1" x14ac:dyDescent="0.3">
      <c r="A2" s="196" t="s">
        <v>141</v>
      </c>
    </row>
    <row r="3" spans="1:22" s="196" customFormat="1" x14ac:dyDescent="0.3"/>
    <row r="4" spans="1:22" ht="15" thickBot="1" x14ac:dyDescent="0.35">
      <c r="A4" s="37"/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</row>
    <row r="6" spans="1:22" ht="15.6" x14ac:dyDescent="0.3">
      <c r="F6" s="39" t="s">
        <v>49</v>
      </c>
    </row>
    <row r="7" spans="1:22" ht="15.6" x14ac:dyDescent="0.3">
      <c r="E7" s="39" t="s">
        <v>44</v>
      </c>
    </row>
    <row r="11" spans="1:22" x14ac:dyDescent="0.3">
      <c r="A11" s="38" t="s">
        <v>45</v>
      </c>
    </row>
    <row r="12" spans="1:22" x14ac:dyDescent="0.3">
      <c r="A12" s="38" t="s">
        <v>46</v>
      </c>
    </row>
    <row r="13" spans="1:22" ht="15" thickBot="1" x14ac:dyDescent="0.35">
      <c r="A13" s="37"/>
      <c r="B13" s="37"/>
      <c r="C13" s="37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</row>
    <row r="14" spans="1:22" ht="15" thickBot="1" x14ac:dyDescent="0.35">
      <c r="A14" s="192" t="s">
        <v>2</v>
      </c>
      <c r="B14" s="192" t="s">
        <v>47</v>
      </c>
      <c r="C14" s="191"/>
      <c r="D14" s="191"/>
      <c r="E14" s="192" t="s">
        <v>4</v>
      </c>
      <c r="F14" s="191"/>
      <c r="G14" s="191"/>
      <c r="H14" s="192" t="s">
        <v>5</v>
      </c>
      <c r="I14" s="191"/>
      <c r="J14" s="191"/>
      <c r="K14" s="112"/>
      <c r="L14" s="192" t="s">
        <v>48</v>
      </c>
      <c r="M14" s="191"/>
      <c r="N14" s="191"/>
      <c r="O14" s="191"/>
      <c r="P14" s="192" t="s">
        <v>7</v>
      </c>
      <c r="Q14" s="192"/>
      <c r="R14" s="187" t="s">
        <v>52</v>
      </c>
      <c r="S14" s="188"/>
      <c r="T14" s="188"/>
      <c r="U14" s="188"/>
      <c r="V14" s="189"/>
    </row>
    <row r="15" spans="1:22" ht="40.200000000000003" thickBot="1" x14ac:dyDescent="0.35">
      <c r="A15" s="192"/>
      <c r="B15" s="40" t="s">
        <v>8</v>
      </c>
      <c r="C15" s="40" t="s">
        <v>9</v>
      </c>
      <c r="D15" s="40" t="s">
        <v>10</v>
      </c>
      <c r="E15" s="40" t="s">
        <v>11</v>
      </c>
      <c r="F15" s="40" t="s">
        <v>12</v>
      </c>
      <c r="G15" s="40" t="s">
        <v>13</v>
      </c>
      <c r="H15" s="40" t="s">
        <v>11</v>
      </c>
      <c r="I15" s="40" t="s">
        <v>12</v>
      </c>
      <c r="J15" s="40" t="s">
        <v>13</v>
      </c>
      <c r="K15" s="113" t="s">
        <v>60</v>
      </c>
      <c r="L15" s="40" t="s">
        <v>11</v>
      </c>
      <c r="M15" s="40" t="s">
        <v>12</v>
      </c>
      <c r="N15" s="40" t="s">
        <v>13</v>
      </c>
      <c r="O15" s="40" t="s">
        <v>14</v>
      </c>
      <c r="P15" s="40" t="s">
        <v>15</v>
      </c>
      <c r="Q15" s="40" t="s">
        <v>16</v>
      </c>
      <c r="R15" s="105"/>
      <c r="S15" s="103"/>
      <c r="T15" s="103"/>
      <c r="U15" s="103"/>
      <c r="V15" s="104"/>
    </row>
    <row r="16" spans="1:22" x14ac:dyDescent="0.3">
      <c r="A16" s="114" t="s">
        <v>137</v>
      </c>
      <c r="B16" s="164">
        <v>334971.51709110459</v>
      </c>
      <c r="C16" s="164">
        <v>0</v>
      </c>
      <c r="D16" s="165">
        <f>B16</f>
        <v>334971.51709110459</v>
      </c>
      <c r="E16" s="166">
        <v>0</v>
      </c>
      <c r="F16" s="166">
        <v>0.39212000000000002</v>
      </c>
      <c r="G16" s="166">
        <v>0.60787999999999998</v>
      </c>
      <c r="H16" s="167">
        <v>1.0241800000000001</v>
      </c>
      <c r="I16" s="167">
        <v>1.0373000000000001</v>
      </c>
      <c r="J16" s="167">
        <v>1.07429</v>
      </c>
      <c r="K16" s="168">
        <f>(E16*H16)+(F16*I16)+(G16*J16)</f>
        <v>1.0597854812</v>
      </c>
      <c r="L16" s="164">
        <f>$D16*E16*H16</f>
        <v>0</v>
      </c>
      <c r="M16" s="164">
        <f t="shared" ref="M16:N31" si="0">$D16*F16*I16</f>
        <v>136248.35014857375</v>
      </c>
      <c r="N16" s="164">
        <f t="shared" si="0"/>
        <v>218749.60028011655</v>
      </c>
      <c r="O16" s="164">
        <f>SUM(L16:N16)</f>
        <v>354997.9504286903</v>
      </c>
      <c r="P16" s="169">
        <f>O16/$O$34</f>
        <v>1.8618124205335842E-2</v>
      </c>
      <c r="Q16" s="170">
        <v>1.6692158139924754E-2</v>
      </c>
      <c r="R16" s="105">
        <f>D16/($D$16+$D$17)</f>
        <v>0.9627113728049761</v>
      </c>
      <c r="S16" s="106">
        <f>K16*R16</f>
        <v>1.0202675354848343</v>
      </c>
      <c r="T16" s="106"/>
      <c r="U16" s="103"/>
      <c r="V16" s="104"/>
    </row>
    <row r="17" spans="1:22" x14ac:dyDescent="0.3">
      <c r="A17" s="114" t="s">
        <v>17</v>
      </c>
      <c r="B17" s="164">
        <v>12974.426577478618</v>
      </c>
      <c r="C17" s="164">
        <v>0</v>
      </c>
      <c r="D17" s="165">
        <f t="shared" ref="D17:D32" si="1">B17</f>
        <v>12974.426577478618</v>
      </c>
      <c r="E17" s="166">
        <v>0</v>
      </c>
      <c r="F17" s="166">
        <v>1.4279999999999999E-2</v>
      </c>
      <c r="G17" s="166">
        <v>0.98572000000000004</v>
      </c>
      <c r="H17" s="167">
        <v>1.0241800000000001</v>
      </c>
      <c r="I17" s="167">
        <v>1.0373000000000001</v>
      </c>
      <c r="J17" s="167">
        <v>1.07429</v>
      </c>
      <c r="K17" s="168">
        <f t="shared" ref="K17:K32" si="2">(E17*H17)+(F17*I17)+(G17*J17)</f>
        <v>1.0737617828000001</v>
      </c>
      <c r="L17" s="164">
        <f t="shared" ref="L17:N32" si="3">$D17*E17*H17</f>
        <v>0</v>
      </c>
      <c r="M17" s="164">
        <f t="shared" si="0"/>
        <v>192.18556199632923</v>
      </c>
      <c r="N17" s="164">
        <f t="shared" si="0"/>
        <v>13739.257850644814</v>
      </c>
      <c r="O17" s="164">
        <f t="shared" ref="O17:O32" si="4">SUM(L17:N17)</f>
        <v>13931.443412641143</v>
      </c>
      <c r="P17" s="169">
        <f t="shared" ref="P17:P32" si="5">O17/$O$34</f>
        <v>7.3064462344906605E-4</v>
      </c>
      <c r="Q17" s="170">
        <v>9.0513782831797864E-4</v>
      </c>
      <c r="R17" s="105">
        <f>D17/($D$16+$D$17)</f>
        <v>3.7288627195023995E-2</v>
      </c>
      <c r="S17" s="106">
        <f>K17*R17</f>
        <v>4.0039102815093534E-2</v>
      </c>
      <c r="T17" s="171">
        <f>S16+S17</f>
        <v>1.0603066382999278</v>
      </c>
      <c r="U17" s="103" t="s">
        <v>54</v>
      </c>
      <c r="V17" s="104"/>
    </row>
    <row r="18" spans="1:22" x14ac:dyDescent="0.3">
      <c r="A18" s="123" t="s">
        <v>18</v>
      </c>
      <c r="B18" s="164">
        <v>179197.42167694357</v>
      </c>
      <c r="C18" s="164">
        <v>0</v>
      </c>
      <c r="D18" s="164">
        <f t="shared" si="1"/>
        <v>179197.42167694357</v>
      </c>
      <c r="E18" s="172">
        <v>1</v>
      </c>
      <c r="F18" s="172">
        <v>0</v>
      </c>
      <c r="G18" s="172">
        <v>0</v>
      </c>
      <c r="H18" s="173">
        <v>1.0241800000000001</v>
      </c>
      <c r="I18" s="173">
        <v>1.0373000000000001</v>
      </c>
      <c r="J18" s="173">
        <v>1.07429</v>
      </c>
      <c r="K18" s="174">
        <f t="shared" si="2"/>
        <v>1.0241800000000001</v>
      </c>
      <c r="L18" s="164">
        <f t="shared" si="3"/>
        <v>183530.4153330921</v>
      </c>
      <c r="M18" s="164">
        <f t="shared" si="0"/>
        <v>0</v>
      </c>
      <c r="N18" s="164">
        <f t="shared" si="0"/>
        <v>0</v>
      </c>
      <c r="O18" s="164">
        <f t="shared" si="4"/>
        <v>183530.4153330921</v>
      </c>
      <c r="P18" s="169">
        <f t="shared" si="5"/>
        <v>9.6253853409634417E-3</v>
      </c>
      <c r="Q18" s="170">
        <v>7.9033212957546044E-3</v>
      </c>
      <c r="R18" s="105"/>
      <c r="S18" s="103"/>
      <c r="T18" s="103"/>
      <c r="U18" s="103"/>
      <c r="V18" s="104"/>
    </row>
    <row r="19" spans="1:22" x14ac:dyDescent="0.3">
      <c r="A19" s="115" t="s">
        <v>138</v>
      </c>
      <c r="B19" s="164">
        <v>8037.883932963342</v>
      </c>
      <c r="C19" s="164">
        <v>0</v>
      </c>
      <c r="D19" s="165">
        <f t="shared" si="1"/>
        <v>8037.883932963342</v>
      </c>
      <c r="E19" s="166">
        <v>0</v>
      </c>
      <c r="F19" s="166">
        <v>0</v>
      </c>
      <c r="G19" s="166">
        <v>1</v>
      </c>
      <c r="H19" s="167">
        <v>1.0241800000000001</v>
      </c>
      <c r="I19" s="167">
        <v>1.0373000000000001</v>
      </c>
      <c r="J19" s="167">
        <v>1.07429</v>
      </c>
      <c r="K19" s="168">
        <f t="shared" si="2"/>
        <v>1.07429</v>
      </c>
      <c r="L19" s="164">
        <f t="shared" si="3"/>
        <v>0</v>
      </c>
      <c r="M19" s="164">
        <f t="shared" si="0"/>
        <v>0</v>
      </c>
      <c r="N19" s="164">
        <f t="shared" si="0"/>
        <v>8635.0183303431877</v>
      </c>
      <c r="O19" s="164">
        <f t="shared" si="4"/>
        <v>8635.0183303431877</v>
      </c>
      <c r="P19" s="169">
        <f t="shared" si="5"/>
        <v>4.5286978022137964E-4</v>
      </c>
      <c r="Q19" s="170">
        <v>4.9107732856399668E-4</v>
      </c>
      <c r="R19" s="105">
        <f>D19/($D$19+$D$30)</f>
        <v>0.68225739211515601</v>
      </c>
      <c r="S19" s="106">
        <f>K19*R19</f>
        <v>0.73294229377539089</v>
      </c>
      <c r="T19" s="106"/>
      <c r="U19" s="103"/>
      <c r="V19" s="104"/>
    </row>
    <row r="20" spans="1:22" x14ac:dyDescent="0.3">
      <c r="A20" s="123" t="s">
        <v>19</v>
      </c>
      <c r="B20" s="164">
        <v>3854029.7945355414</v>
      </c>
      <c r="C20" s="164">
        <v>0</v>
      </c>
      <c r="D20" s="164">
        <f t="shared" si="1"/>
        <v>3854029.7945355414</v>
      </c>
      <c r="E20" s="172">
        <v>0</v>
      </c>
      <c r="F20" s="172">
        <v>2.8800000000000002E-3</v>
      </c>
      <c r="G20" s="172">
        <v>0.99712000000000001</v>
      </c>
      <c r="H20" s="173">
        <v>1.0241800000000001</v>
      </c>
      <c r="I20" s="173">
        <v>1.0373000000000001</v>
      </c>
      <c r="J20" s="173">
        <v>1.07429</v>
      </c>
      <c r="K20" s="174">
        <f t="shared" si="2"/>
        <v>1.0741834688</v>
      </c>
      <c r="L20" s="164">
        <f t="shared" si="3"/>
        <v>0</v>
      </c>
      <c r="M20" s="164">
        <f t="shared" si="0"/>
        <v>11513.621104910548</v>
      </c>
      <c r="N20" s="164">
        <f t="shared" si="0"/>
        <v>4128421.4724478289</v>
      </c>
      <c r="O20" s="164">
        <f t="shared" si="4"/>
        <v>4139935.0935527394</v>
      </c>
      <c r="P20" s="169">
        <f t="shared" si="5"/>
        <v>0.21712188952278602</v>
      </c>
      <c r="Q20" s="170">
        <v>0.19946111887196513</v>
      </c>
      <c r="R20" s="105">
        <f>D30/($D$19+$D$30)</f>
        <v>0.31774260788484393</v>
      </c>
      <c r="S20" s="106">
        <f>K30*R20</f>
        <v>0.34134770622460897</v>
      </c>
      <c r="T20" s="171">
        <f>S19+S20</f>
        <v>1.07429</v>
      </c>
      <c r="U20" s="103" t="s">
        <v>55</v>
      </c>
      <c r="V20" s="104"/>
    </row>
    <row r="21" spans="1:22" x14ac:dyDescent="0.3">
      <c r="A21" s="123" t="s">
        <v>20</v>
      </c>
      <c r="B21" s="164">
        <v>1556942.6185767679</v>
      </c>
      <c r="C21" s="164">
        <v>0</v>
      </c>
      <c r="D21" s="164">
        <f t="shared" si="1"/>
        <v>1556942.6185767679</v>
      </c>
      <c r="E21" s="172">
        <v>0</v>
      </c>
      <c r="F21" s="172">
        <v>3.9350000000000003E-2</v>
      </c>
      <c r="G21" s="172">
        <v>0.96065</v>
      </c>
      <c r="H21" s="173">
        <v>1.0241800000000001</v>
      </c>
      <c r="I21" s="173">
        <v>1.0373000000000001</v>
      </c>
      <c r="J21" s="173">
        <v>1.07429</v>
      </c>
      <c r="K21" s="174">
        <f t="shared" si="2"/>
        <v>1.0728344434999999</v>
      </c>
      <c r="L21" s="164">
        <f t="shared" si="3"/>
        <v>0</v>
      </c>
      <c r="M21" s="164">
        <f t="shared" si="0"/>
        <v>63550.90235412497</v>
      </c>
      <c r="N21" s="164">
        <f t="shared" si="0"/>
        <v>1606790.7654081145</v>
      </c>
      <c r="O21" s="164">
        <f t="shared" si="4"/>
        <v>1670341.6677622395</v>
      </c>
      <c r="P21" s="169">
        <f t="shared" si="5"/>
        <v>8.7602276571430743E-2</v>
      </c>
      <c r="Q21" s="170">
        <v>8.1830626958473665E-2</v>
      </c>
      <c r="R21" s="105"/>
      <c r="S21" s="103"/>
      <c r="T21" s="103"/>
      <c r="U21" s="103"/>
      <c r="V21" s="104"/>
    </row>
    <row r="22" spans="1:22" x14ac:dyDescent="0.3">
      <c r="A22" s="123" t="s">
        <v>21</v>
      </c>
      <c r="B22" s="164">
        <v>312391.3799935063</v>
      </c>
      <c r="C22" s="164">
        <v>0</v>
      </c>
      <c r="D22" s="164">
        <f t="shared" si="1"/>
        <v>312391.3799935063</v>
      </c>
      <c r="E22" s="172">
        <v>0</v>
      </c>
      <c r="F22" s="172">
        <v>0.32521</v>
      </c>
      <c r="G22" s="172">
        <v>0.67479</v>
      </c>
      <c r="H22" s="173">
        <v>1.0241800000000001</v>
      </c>
      <c r="I22" s="173">
        <v>1.0373000000000001</v>
      </c>
      <c r="J22" s="173">
        <v>1.07429</v>
      </c>
      <c r="K22" s="174">
        <f t="shared" si="2"/>
        <v>1.0622604821000001</v>
      </c>
      <c r="L22" s="164">
        <f t="shared" si="3"/>
        <v>0</v>
      </c>
      <c r="M22" s="164">
        <f t="shared" si="0"/>
        <v>105382.21215333896</v>
      </c>
      <c r="N22" s="164">
        <f t="shared" si="0"/>
        <v>226458.80576244736</v>
      </c>
      <c r="O22" s="164">
        <f t="shared" si="4"/>
        <v>331841.0179157863</v>
      </c>
      <c r="P22" s="169">
        <f t="shared" si="5"/>
        <v>1.7403642135174056E-2</v>
      </c>
      <c r="Q22" s="170">
        <v>1.6250191976936699E-2</v>
      </c>
      <c r="R22" s="105"/>
      <c r="S22" s="103"/>
      <c r="T22" s="103"/>
      <c r="U22" s="103"/>
      <c r="V22" s="104"/>
    </row>
    <row r="23" spans="1:22" x14ac:dyDescent="0.3">
      <c r="A23" s="123" t="s">
        <v>22</v>
      </c>
      <c r="B23" s="164">
        <v>21568.80140757118</v>
      </c>
      <c r="C23" s="164">
        <v>0</v>
      </c>
      <c r="D23" s="164">
        <f t="shared" si="1"/>
        <v>21568.80140757118</v>
      </c>
      <c r="E23" s="172">
        <v>1</v>
      </c>
      <c r="F23" s="172">
        <v>0</v>
      </c>
      <c r="G23" s="172">
        <v>0</v>
      </c>
      <c r="H23" s="173">
        <v>1.0241800000000001</v>
      </c>
      <c r="I23" s="173">
        <v>1.0373000000000001</v>
      </c>
      <c r="J23" s="173">
        <v>1.07429</v>
      </c>
      <c r="K23" s="174">
        <f t="shared" si="2"/>
        <v>1.0241800000000001</v>
      </c>
      <c r="L23" s="164">
        <f t="shared" si="3"/>
        <v>22090.335025606251</v>
      </c>
      <c r="M23" s="164">
        <f t="shared" si="0"/>
        <v>0</v>
      </c>
      <c r="N23" s="164">
        <f t="shared" si="0"/>
        <v>0</v>
      </c>
      <c r="O23" s="164">
        <f t="shared" si="4"/>
        <v>22090.335025606251</v>
      </c>
      <c r="P23" s="169">
        <f t="shared" si="5"/>
        <v>1.1585435936955735E-3</v>
      </c>
      <c r="Q23" s="170">
        <v>9.6944842440971433E-4</v>
      </c>
      <c r="R23" s="105"/>
      <c r="S23" s="103"/>
      <c r="T23" s="103"/>
      <c r="U23" s="103"/>
      <c r="V23" s="104"/>
    </row>
    <row r="24" spans="1:22" x14ac:dyDescent="0.3">
      <c r="A24" s="123" t="s">
        <v>23</v>
      </c>
      <c r="B24" s="164">
        <v>988701.4373954176</v>
      </c>
      <c r="C24" s="164">
        <v>0</v>
      </c>
      <c r="D24" s="164">
        <f t="shared" si="1"/>
        <v>988701.4373954176</v>
      </c>
      <c r="E24" s="172">
        <v>0</v>
      </c>
      <c r="F24" s="172">
        <v>0</v>
      </c>
      <c r="G24" s="172">
        <v>1</v>
      </c>
      <c r="H24" s="173">
        <v>1.0241800000000001</v>
      </c>
      <c r="I24" s="173">
        <v>1.0373000000000001</v>
      </c>
      <c r="J24" s="173">
        <v>1.07429</v>
      </c>
      <c r="K24" s="174">
        <f t="shared" si="2"/>
        <v>1.07429</v>
      </c>
      <c r="L24" s="164">
        <f t="shared" si="3"/>
        <v>0</v>
      </c>
      <c r="M24" s="164">
        <f t="shared" si="0"/>
        <v>0</v>
      </c>
      <c r="N24" s="164">
        <f t="shared" si="0"/>
        <v>1062152.0671795232</v>
      </c>
      <c r="O24" s="164">
        <f t="shared" si="4"/>
        <v>1062152.0671795232</v>
      </c>
      <c r="P24" s="169">
        <f t="shared" si="5"/>
        <v>5.5705333193676883E-2</v>
      </c>
      <c r="Q24" s="170">
        <v>5.0272930673318027E-2</v>
      </c>
      <c r="R24" s="105"/>
      <c r="S24" s="103"/>
      <c r="T24" s="103"/>
      <c r="U24" s="103"/>
      <c r="V24" s="104"/>
    </row>
    <row r="25" spans="1:22" x14ac:dyDescent="0.3">
      <c r="A25" s="123" t="s">
        <v>24</v>
      </c>
      <c r="B25" s="164">
        <v>20894.512243814999</v>
      </c>
      <c r="C25" s="164">
        <v>0</v>
      </c>
      <c r="D25" s="164">
        <f t="shared" si="1"/>
        <v>20894.512243814999</v>
      </c>
      <c r="E25" s="172">
        <v>0</v>
      </c>
      <c r="F25" s="172">
        <v>1</v>
      </c>
      <c r="G25" s="172">
        <v>0</v>
      </c>
      <c r="H25" s="173">
        <v>1.0241800000000001</v>
      </c>
      <c r="I25" s="173">
        <v>1.0373000000000001</v>
      </c>
      <c r="J25" s="173">
        <v>1.07429</v>
      </c>
      <c r="K25" s="174">
        <f t="shared" si="2"/>
        <v>1.0373000000000001</v>
      </c>
      <c r="L25" s="164">
        <f t="shared" si="3"/>
        <v>0</v>
      </c>
      <c r="M25" s="164">
        <f t="shared" si="0"/>
        <v>21673.8775505093</v>
      </c>
      <c r="N25" s="164">
        <f t="shared" si="0"/>
        <v>0</v>
      </c>
      <c r="O25" s="164">
        <f t="shared" si="4"/>
        <v>21673.8775505093</v>
      </c>
      <c r="P25" s="169">
        <f t="shared" si="5"/>
        <v>1.1367021802783062E-3</v>
      </c>
      <c r="Q25" s="170">
        <v>6.8226296666982751E-4</v>
      </c>
      <c r="R25" s="105"/>
      <c r="S25" s="103"/>
      <c r="T25" s="103"/>
      <c r="U25" s="103"/>
      <c r="V25" s="104"/>
    </row>
    <row r="26" spans="1:22" x14ac:dyDescent="0.3">
      <c r="A26" s="116" t="s">
        <v>139</v>
      </c>
      <c r="B26" s="164">
        <v>3633.3663849182722</v>
      </c>
      <c r="C26" s="164">
        <v>0</v>
      </c>
      <c r="D26" s="165">
        <f t="shared" si="1"/>
        <v>3633.3663849182722</v>
      </c>
      <c r="E26" s="166">
        <v>0</v>
      </c>
      <c r="F26" s="166">
        <v>0</v>
      </c>
      <c r="G26" s="166">
        <v>1</v>
      </c>
      <c r="H26" s="167">
        <v>1.0241800000000001</v>
      </c>
      <c r="I26" s="167">
        <v>1.0373000000000001</v>
      </c>
      <c r="J26" s="167">
        <v>1.07429</v>
      </c>
      <c r="K26" s="168">
        <f t="shared" si="2"/>
        <v>1.07429</v>
      </c>
      <c r="L26" s="164">
        <f t="shared" si="3"/>
        <v>0</v>
      </c>
      <c r="M26" s="164">
        <f t="shared" si="0"/>
        <v>0</v>
      </c>
      <c r="N26" s="164">
        <f t="shared" si="0"/>
        <v>3903.2891736538504</v>
      </c>
      <c r="O26" s="164">
        <f t="shared" si="4"/>
        <v>3903.2891736538504</v>
      </c>
      <c r="P26" s="169">
        <f t="shared" si="5"/>
        <v>2.0471082313763375E-4</v>
      </c>
      <c r="Q26" s="170">
        <v>1.508384219785231E-4</v>
      </c>
      <c r="R26" s="105">
        <f>D25/($D$25+$D$29)</f>
        <v>0.50044650966943527</v>
      </c>
      <c r="S26" s="106">
        <f>K26*R26</f>
        <v>0.53762468087277759</v>
      </c>
      <c r="T26" s="106"/>
      <c r="U26" s="103"/>
      <c r="V26" s="104"/>
    </row>
    <row r="27" spans="1:22" ht="15" thickBot="1" x14ac:dyDescent="0.35">
      <c r="A27" s="123" t="s">
        <v>25</v>
      </c>
      <c r="B27" s="164">
        <v>815.91435103653828</v>
      </c>
      <c r="C27" s="164">
        <v>0</v>
      </c>
      <c r="D27" s="164">
        <f t="shared" si="1"/>
        <v>815.91435103653828</v>
      </c>
      <c r="E27" s="172">
        <v>0</v>
      </c>
      <c r="F27" s="172">
        <v>1</v>
      </c>
      <c r="G27" s="172">
        <v>0</v>
      </c>
      <c r="H27" s="173">
        <v>1.0241800000000001</v>
      </c>
      <c r="I27" s="173">
        <v>1.0373000000000001</v>
      </c>
      <c r="J27" s="173">
        <v>1.07429</v>
      </c>
      <c r="K27" s="174">
        <f t="shared" si="2"/>
        <v>1.0373000000000001</v>
      </c>
      <c r="L27" s="164">
        <f t="shared" si="3"/>
        <v>0</v>
      </c>
      <c r="M27" s="164">
        <f t="shared" si="0"/>
        <v>846.34795633020121</v>
      </c>
      <c r="N27" s="164">
        <f t="shared" si="0"/>
        <v>0</v>
      </c>
      <c r="O27" s="164">
        <f t="shared" si="4"/>
        <v>846.34795633020121</v>
      </c>
      <c r="P27" s="169">
        <f t="shared" si="5"/>
        <v>4.4387330554611441E-5</v>
      </c>
      <c r="Q27" s="170">
        <v>7.8283231756264579E-5</v>
      </c>
      <c r="R27" s="107">
        <f>D29/($D$25+$D$29)</f>
        <v>0.49955349033056473</v>
      </c>
      <c r="S27" s="108">
        <f>K29*R27</f>
        <v>0.53666531912722237</v>
      </c>
      <c r="T27" s="175">
        <f>S26+S27</f>
        <v>1.07429</v>
      </c>
      <c r="U27" s="37" t="s">
        <v>56</v>
      </c>
      <c r="V27" s="109"/>
    </row>
    <row r="28" spans="1:22" x14ac:dyDescent="0.3">
      <c r="A28" s="123" t="s">
        <v>26</v>
      </c>
      <c r="B28" s="164">
        <v>10443289.805182116</v>
      </c>
      <c r="C28" s="164">
        <v>0</v>
      </c>
      <c r="D28" s="164">
        <f t="shared" si="1"/>
        <v>10443289.805182116</v>
      </c>
      <c r="E28" s="172">
        <v>0</v>
      </c>
      <c r="F28" s="172">
        <v>0</v>
      </c>
      <c r="G28" s="172">
        <v>1</v>
      </c>
      <c r="H28" s="173">
        <v>1.0241800000000001</v>
      </c>
      <c r="I28" s="173">
        <v>1.0373000000000001</v>
      </c>
      <c r="J28" s="173">
        <v>1.07429</v>
      </c>
      <c r="K28" s="174">
        <f t="shared" si="2"/>
        <v>1.07429</v>
      </c>
      <c r="L28" s="164">
        <f t="shared" si="3"/>
        <v>0</v>
      </c>
      <c r="M28" s="164">
        <f t="shared" si="0"/>
        <v>0</v>
      </c>
      <c r="N28" s="164">
        <f t="shared" si="0"/>
        <v>11219121.804809095</v>
      </c>
      <c r="O28" s="164">
        <f t="shared" si="4"/>
        <v>11219121.804809095</v>
      </c>
      <c r="P28" s="169">
        <f t="shared" si="5"/>
        <v>0.58839495547647003</v>
      </c>
      <c r="Q28" s="170">
        <v>0.57252565575043191</v>
      </c>
      <c r="R28" s="93"/>
      <c r="S28" s="93"/>
      <c r="T28" s="93"/>
      <c r="U28" s="93"/>
      <c r="V28" s="93"/>
    </row>
    <row r="29" spans="1:22" x14ac:dyDescent="0.3">
      <c r="A29" s="116" t="s">
        <v>27</v>
      </c>
      <c r="B29" s="164">
        <v>20857.227133119915</v>
      </c>
      <c r="C29" s="164">
        <v>0</v>
      </c>
      <c r="D29" s="165">
        <f t="shared" si="1"/>
        <v>20857.227133119915</v>
      </c>
      <c r="E29" s="166">
        <v>0</v>
      </c>
      <c r="F29" s="166">
        <v>0</v>
      </c>
      <c r="G29" s="166">
        <v>1</v>
      </c>
      <c r="H29" s="167">
        <v>1.0241800000000001</v>
      </c>
      <c r="I29" s="167">
        <v>1.0373000000000001</v>
      </c>
      <c r="J29" s="167">
        <v>1.07429</v>
      </c>
      <c r="K29" s="168">
        <f t="shared" si="2"/>
        <v>1.07429</v>
      </c>
      <c r="L29" s="164">
        <f t="shared" si="3"/>
        <v>0</v>
      </c>
      <c r="M29" s="164">
        <f t="shared" si="0"/>
        <v>0</v>
      </c>
      <c r="N29" s="164">
        <f t="shared" si="0"/>
        <v>22406.710536839393</v>
      </c>
      <c r="O29" s="164">
        <f t="shared" si="4"/>
        <v>22406.710536839393</v>
      </c>
      <c r="P29" s="169">
        <f t="shared" si="5"/>
        <v>1.1751361361498388E-3</v>
      </c>
      <c r="Q29" s="170">
        <v>8.3026432973220513E-4</v>
      </c>
      <c r="R29" s="93"/>
      <c r="S29" s="93"/>
      <c r="T29" s="93"/>
      <c r="U29" s="93"/>
      <c r="V29" s="93"/>
    </row>
    <row r="30" spans="1:22" x14ac:dyDescent="0.3">
      <c r="A30" s="115" t="s">
        <v>28</v>
      </c>
      <c r="B30" s="164">
        <v>3743.4232772730156</v>
      </c>
      <c r="C30" s="164">
        <v>0</v>
      </c>
      <c r="D30" s="165">
        <f t="shared" si="1"/>
        <v>3743.4232772730156</v>
      </c>
      <c r="E30" s="166">
        <v>0</v>
      </c>
      <c r="F30" s="166">
        <v>0</v>
      </c>
      <c r="G30" s="166">
        <v>1</v>
      </c>
      <c r="H30" s="167">
        <v>1.0241800000000001</v>
      </c>
      <c r="I30" s="167">
        <v>1.0373000000000001</v>
      </c>
      <c r="J30" s="167">
        <v>1.07429</v>
      </c>
      <c r="K30" s="168">
        <f t="shared" si="2"/>
        <v>1.07429</v>
      </c>
      <c r="L30" s="164">
        <f t="shared" si="3"/>
        <v>0</v>
      </c>
      <c r="M30" s="164">
        <f t="shared" si="0"/>
        <v>0</v>
      </c>
      <c r="N30" s="164">
        <f t="shared" si="0"/>
        <v>4021.5221925416276</v>
      </c>
      <c r="O30" s="164">
        <f t="shared" si="4"/>
        <v>4021.5221925416276</v>
      </c>
      <c r="P30" s="169">
        <f t="shared" si="5"/>
        <v>2.1091163930619534E-4</v>
      </c>
      <c r="Q30" s="170">
        <v>1.9484008215947302E-4</v>
      </c>
      <c r="R30" s="93"/>
      <c r="S30" s="93"/>
      <c r="T30" s="93"/>
      <c r="U30" s="93"/>
      <c r="V30" s="93"/>
    </row>
    <row r="31" spans="1:22" x14ac:dyDescent="0.3">
      <c r="A31" s="111" t="s">
        <v>29</v>
      </c>
      <c r="B31" s="164">
        <v>1664.7526750432392</v>
      </c>
      <c r="C31" s="164">
        <v>0</v>
      </c>
      <c r="D31" s="164">
        <f t="shared" si="1"/>
        <v>1664.7526750432392</v>
      </c>
      <c r="E31" s="172">
        <v>0</v>
      </c>
      <c r="F31" s="172">
        <v>1</v>
      </c>
      <c r="G31" s="172">
        <v>0</v>
      </c>
      <c r="H31" s="173">
        <v>1.0241800000000001</v>
      </c>
      <c r="I31" s="173">
        <v>1.0373000000000001</v>
      </c>
      <c r="J31" s="173">
        <v>1.07429</v>
      </c>
      <c r="K31" s="174">
        <f t="shared" si="2"/>
        <v>1.0373000000000001</v>
      </c>
      <c r="L31" s="164">
        <f t="shared" si="3"/>
        <v>0</v>
      </c>
      <c r="M31" s="164">
        <f t="shared" si="0"/>
        <v>1726.8479498223521</v>
      </c>
      <c r="N31" s="164">
        <f t="shared" si="0"/>
        <v>0</v>
      </c>
      <c r="O31" s="164">
        <f t="shared" si="4"/>
        <v>1726.8479498223521</v>
      </c>
      <c r="P31" s="169">
        <f t="shared" si="5"/>
        <v>9.0565789393142783E-5</v>
      </c>
      <c r="Q31" s="170">
        <v>1.0538976445442507E-4</v>
      </c>
      <c r="R31" s="93"/>
      <c r="S31" s="93"/>
      <c r="T31" s="93"/>
      <c r="U31" s="93"/>
      <c r="V31" s="93"/>
    </row>
    <row r="32" spans="1:22" x14ac:dyDescent="0.3">
      <c r="A32" s="111" t="s">
        <v>30</v>
      </c>
      <c r="B32" s="164">
        <v>6030.5041178798392</v>
      </c>
      <c r="C32" s="164">
        <v>0</v>
      </c>
      <c r="D32" s="164">
        <f t="shared" si="1"/>
        <v>6030.5041178798392</v>
      </c>
      <c r="E32" s="172">
        <v>1</v>
      </c>
      <c r="F32" s="172">
        <v>0</v>
      </c>
      <c r="G32" s="172">
        <v>0</v>
      </c>
      <c r="H32" s="173">
        <v>1.0241800000000001</v>
      </c>
      <c r="I32" s="173">
        <v>1.0373000000000001</v>
      </c>
      <c r="J32" s="173">
        <v>1.07429</v>
      </c>
      <c r="K32" s="174">
        <f t="shared" si="2"/>
        <v>1.0241800000000001</v>
      </c>
      <c r="L32" s="164">
        <f t="shared" si="3"/>
        <v>6176.3217074501745</v>
      </c>
      <c r="M32" s="164">
        <f t="shared" si="3"/>
        <v>0</v>
      </c>
      <c r="N32" s="164">
        <f t="shared" si="3"/>
        <v>0</v>
      </c>
      <c r="O32" s="164">
        <f t="shared" si="4"/>
        <v>6176.3217074501745</v>
      </c>
      <c r="P32" s="169">
        <f t="shared" si="5"/>
        <v>3.2392165797734103E-4</v>
      </c>
      <c r="Q32" s="170">
        <v>4.9481793444744243E-4</v>
      </c>
      <c r="R32" s="93"/>
      <c r="S32" s="93"/>
      <c r="T32" s="93"/>
      <c r="U32" s="93"/>
      <c r="V32" s="93"/>
    </row>
    <row r="33" spans="1:22" ht="15" thickBot="1" x14ac:dyDescent="0.35">
      <c r="B33" s="176"/>
      <c r="C33" s="176"/>
      <c r="D33" s="176"/>
      <c r="E33" s="93"/>
      <c r="F33" s="93"/>
      <c r="G33" s="93"/>
      <c r="H33" s="93"/>
      <c r="I33" s="93"/>
      <c r="J33" s="93"/>
      <c r="K33" s="93"/>
      <c r="L33" s="95"/>
      <c r="M33" s="95"/>
      <c r="N33" s="95"/>
      <c r="O33" s="95"/>
      <c r="P33" s="95"/>
      <c r="Q33" s="93"/>
      <c r="R33" s="93"/>
      <c r="S33" s="93"/>
      <c r="T33" s="93"/>
      <c r="U33" s="93"/>
      <c r="V33" s="93"/>
    </row>
    <row r="34" spans="1:22" ht="15" thickBot="1" x14ac:dyDescent="0.35">
      <c r="A34" s="41" t="s">
        <v>15</v>
      </c>
      <c r="B34" s="177">
        <f>SUM(B16:B32)</f>
        <v>17769744.786552496</v>
      </c>
      <c r="C34" s="177">
        <f t="shared" ref="C34:D34" si="6">SUM(C16:C32)</f>
        <v>0</v>
      </c>
      <c r="D34" s="177">
        <f t="shared" si="6"/>
        <v>17769744.786552496</v>
      </c>
      <c r="E34" s="178" t="s">
        <v>2</v>
      </c>
      <c r="F34" s="178" t="s">
        <v>2</v>
      </c>
      <c r="G34" s="178" t="s">
        <v>2</v>
      </c>
      <c r="H34" s="178" t="s">
        <v>2</v>
      </c>
      <c r="I34" s="178" t="s">
        <v>2</v>
      </c>
      <c r="J34" s="178" t="s">
        <v>2</v>
      </c>
      <c r="K34" s="178"/>
      <c r="L34" s="177">
        <f>SUM(L16:L32)</f>
        <v>211797.07206614851</v>
      </c>
      <c r="M34" s="177">
        <f t="shared" ref="M34:O34" si="7">SUM(M16:M32)</f>
        <v>341134.34477960644</v>
      </c>
      <c r="N34" s="177">
        <f t="shared" si="7"/>
        <v>18514400.313971147</v>
      </c>
      <c r="O34" s="177">
        <f t="shared" si="7"/>
        <v>19067331.730816901</v>
      </c>
      <c r="P34" s="179">
        <v>1</v>
      </c>
      <c r="Q34" s="180">
        <v>0.94983836397929455</v>
      </c>
      <c r="R34" s="93"/>
      <c r="S34" s="93"/>
      <c r="T34" s="93"/>
      <c r="U34" s="93"/>
      <c r="V34" s="93"/>
    </row>
    <row r="36" spans="1:22" x14ac:dyDescent="0.3">
      <c r="A36" s="41" t="s">
        <v>31</v>
      </c>
      <c r="B36" s="42">
        <v>1647.6536862644682</v>
      </c>
      <c r="C36" s="43">
        <v>0</v>
      </c>
      <c r="D36" s="44">
        <v>1647.6536862644682</v>
      </c>
      <c r="E36" s="45">
        <v>1</v>
      </c>
      <c r="F36" s="45">
        <v>0</v>
      </c>
      <c r="G36" s="45">
        <v>0</v>
      </c>
      <c r="H36" s="46">
        <v>1.0241800000000001</v>
      </c>
      <c r="I36" s="46">
        <v>1.0373000000000001</v>
      </c>
      <c r="J36" s="46">
        <v>1.07429</v>
      </c>
      <c r="K36" s="46"/>
      <c r="L36" s="44">
        <v>1687.4939523983433</v>
      </c>
      <c r="M36" s="47">
        <v>0</v>
      </c>
      <c r="N36" s="48">
        <v>0</v>
      </c>
      <c r="O36" s="49">
        <v>1687.4939523983433</v>
      </c>
      <c r="P36" s="51" t="s">
        <v>2</v>
      </c>
      <c r="Q36" s="50">
        <v>7.8950094074269474E-5</v>
      </c>
    </row>
    <row r="37" spans="1:22" x14ac:dyDescent="0.3">
      <c r="A37" s="41" t="s">
        <v>32</v>
      </c>
      <c r="B37" s="42">
        <v>126186.839522961</v>
      </c>
      <c r="C37" s="43">
        <v>0</v>
      </c>
      <c r="D37" s="44">
        <v>126186.839522961</v>
      </c>
      <c r="E37" s="45">
        <v>1</v>
      </c>
      <c r="F37" s="45">
        <v>0</v>
      </c>
      <c r="G37" s="45">
        <v>0</v>
      </c>
      <c r="H37" s="46">
        <v>1.0241800000000001</v>
      </c>
      <c r="I37" s="46">
        <v>1.0373000000000001</v>
      </c>
      <c r="J37" s="46">
        <v>1.07429</v>
      </c>
      <c r="K37" s="46"/>
      <c r="L37" s="44">
        <v>129238.03730262621</v>
      </c>
      <c r="M37" s="47">
        <v>0</v>
      </c>
      <c r="N37" s="48">
        <v>0</v>
      </c>
      <c r="O37" s="49">
        <v>129238.03730262621</v>
      </c>
      <c r="P37" s="52" t="s">
        <v>2</v>
      </c>
      <c r="Q37" s="50">
        <v>6.0464543819637477E-3</v>
      </c>
    </row>
    <row r="38" spans="1:22" x14ac:dyDescent="0.3">
      <c r="A38" s="41" t="s">
        <v>33</v>
      </c>
      <c r="B38" s="42">
        <v>0</v>
      </c>
      <c r="C38" s="43">
        <v>0</v>
      </c>
      <c r="D38" s="44">
        <v>0</v>
      </c>
      <c r="E38" s="45">
        <v>1</v>
      </c>
      <c r="F38" s="45">
        <v>0</v>
      </c>
      <c r="G38" s="45">
        <v>0</v>
      </c>
      <c r="H38" s="46">
        <v>1.0241800000000001</v>
      </c>
      <c r="I38" s="46">
        <v>1.0373000000000001</v>
      </c>
      <c r="J38" s="46">
        <v>1.07429</v>
      </c>
      <c r="K38" s="46"/>
      <c r="L38" s="44">
        <v>0</v>
      </c>
      <c r="M38" s="47">
        <v>0</v>
      </c>
      <c r="N38" s="48">
        <v>0</v>
      </c>
      <c r="O38" s="49">
        <v>0</v>
      </c>
      <c r="P38" s="53" t="s">
        <v>2</v>
      </c>
      <c r="Q38" s="50">
        <v>0</v>
      </c>
    </row>
    <row r="39" spans="1:22" x14ac:dyDescent="0.3">
      <c r="A39" s="41" t="s">
        <v>34</v>
      </c>
      <c r="B39" s="42">
        <v>689565.72335174109</v>
      </c>
      <c r="C39" s="43">
        <v>0</v>
      </c>
      <c r="D39" s="44">
        <v>689565.72335174109</v>
      </c>
      <c r="E39" s="45">
        <v>1</v>
      </c>
      <c r="F39" s="45">
        <v>0</v>
      </c>
      <c r="G39" s="45">
        <v>0</v>
      </c>
      <c r="H39" s="46">
        <v>1.0241800000000001</v>
      </c>
      <c r="I39" s="46">
        <v>1.0373000000000001</v>
      </c>
      <c r="J39" s="46">
        <v>1.07429</v>
      </c>
      <c r="K39" s="46"/>
      <c r="L39" s="44">
        <v>706239.42254238622</v>
      </c>
      <c r="M39" s="47">
        <v>0</v>
      </c>
      <c r="N39" s="48">
        <v>0</v>
      </c>
      <c r="O39" s="49">
        <v>706239.42254238622</v>
      </c>
      <c r="P39" s="54" t="s">
        <v>2</v>
      </c>
      <c r="Q39" s="50">
        <v>3.3041699953610976E-2</v>
      </c>
    </row>
    <row r="40" spans="1:22" x14ac:dyDescent="0.3">
      <c r="A40" s="41" t="s">
        <v>35</v>
      </c>
      <c r="B40" s="42">
        <v>0</v>
      </c>
      <c r="C40" s="43">
        <v>0</v>
      </c>
      <c r="D40" s="44">
        <v>0</v>
      </c>
      <c r="E40" s="45">
        <v>1</v>
      </c>
      <c r="F40" s="45">
        <v>0</v>
      </c>
      <c r="G40" s="45">
        <v>0</v>
      </c>
      <c r="H40" s="46">
        <v>1.0241800000000001</v>
      </c>
      <c r="I40" s="46">
        <v>1.0373000000000001</v>
      </c>
      <c r="J40" s="46">
        <v>1.07429</v>
      </c>
      <c r="K40" s="46"/>
      <c r="L40" s="44">
        <v>0</v>
      </c>
      <c r="M40" s="47">
        <v>0</v>
      </c>
      <c r="N40" s="48">
        <v>0</v>
      </c>
      <c r="O40" s="49">
        <v>0</v>
      </c>
      <c r="P40" s="55" t="s">
        <v>2</v>
      </c>
      <c r="Q40" s="50">
        <v>0</v>
      </c>
    </row>
    <row r="41" spans="1:22" x14ac:dyDescent="0.3">
      <c r="A41" s="41" t="s">
        <v>36</v>
      </c>
      <c r="B41" s="42">
        <v>34173.557791896608</v>
      </c>
      <c r="C41" s="43">
        <v>0</v>
      </c>
      <c r="D41" s="44">
        <v>34173.557791896608</v>
      </c>
      <c r="E41" s="45">
        <v>1</v>
      </c>
      <c r="F41" s="45">
        <v>0</v>
      </c>
      <c r="G41" s="45">
        <v>0</v>
      </c>
      <c r="H41" s="46">
        <v>1.0241800000000001</v>
      </c>
      <c r="I41" s="46">
        <v>1.0373000000000001</v>
      </c>
      <c r="J41" s="46">
        <v>1.07429</v>
      </c>
      <c r="K41" s="46"/>
      <c r="L41" s="44">
        <v>34999.874419304673</v>
      </c>
      <c r="M41" s="47">
        <v>0</v>
      </c>
      <c r="N41" s="48">
        <v>0</v>
      </c>
      <c r="O41" s="49">
        <v>34999.874419304673</v>
      </c>
      <c r="P41" s="56" t="s">
        <v>2</v>
      </c>
      <c r="Q41" s="50">
        <v>1.6374834256824885E-3</v>
      </c>
    </row>
    <row r="42" spans="1:22" x14ac:dyDescent="0.3">
      <c r="A42" s="41" t="s">
        <v>37</v>
      </c>
      <c r="B42" s="42">
        <v>195277.47348507986</v>
      </c>
      <c r="C42" s="43">
        <v>0</v>
      </c>
      <c r="D42" s="44">
        <v>195277.47348507986</v>
      </c>
      <c r="E42" s="45">
        <v>1</v>
      </c>
      <c r="F42" s="45">
        <v>0</v>
      </c>
      <c r="G42" s="45">
        <v>0</v>
      </c>
      <c r="H42" s="46">
        <v>1.0241800000000001</v>
      </c>
      <c r="I42" s="46">
        <v>1.0373000000000001</v>
      </c>
      <c r="J42" s="46">
        <v>1.07429</v>
      </c>
      <c r="K42" s="46"/>
      <c r="L42" s="44">
        <v>199999.2827939491</v>
      </c>
      <c r="M42" s="47">
        <v>0</v>
      </c>
      <c r="N42" s="48">
        <v>0</v>
      </c>
      <c r="O42" s="49">
        <v>199999.2827939491</v>
      </c>
      <c r="P42" s="57" t="s">
        <v>2</v>
      </c>
      <c r="Q42" s="50">
        <v>9.3570481653740389E-3</v>
      </c>
    </row>
    <row r="43" spans="1:22" x14ac:dyDescent="0.3">
      <c r="A43" s="41" t="s">
        <v>38</v>
      </c>
      <c r="B43" s="42">
        <v>0</v>
      </c>
      <c r="C43" s="43">
        <v>0</v>
      </c>
      <c r="D43" s="44">
        <v>0</v>
      </c>
      <c r="E43" s="45">
        <v>1</v>
      </c>
      <c r="F43" s="45">
        <v>0</v>
      </c>
      <c r="G43" s="45">
        <v>0</v>
      </c>
      <c r="H43" s="46">
        <v>1.0241800000000001</v>
      </c>
      <c r="I43" s="46">
        <v>1.0373000000000001</v>
      </c>
      <c r="J43" s="46">
        <v>1.07429</v>
      </c>
      <c r="K43" s="46"/>
      <c r="L43" s="44">
        <v>0</v>
      </c>
      <c r="M43" s="47">
        <v>0</v>
      </c>
      <c r="N43" s="48">
        <v>0</v>
      </c>
      <c r="O43" s="49">
        <v>0</v>
      </c>
      <c r="P43" s="58" t="s">
        <v>2</v>
      </c>
      <c r="Q43" s="50">
        <v>0</v>
      </c>
    </row>
    <row r="44" spans="1:22" ht="15" x14ac:dyDescent="0.25">
      <c r="A44" s="41" t="s">
        <v>39</v>
      </c>
      <c r="B44" s="42">
        <v>0</v>
      </c>
      <c r="C44" s="43">
        <v>0</v>
      </c>
      <c r="D44" s="44">
        <v>0</v>
      </c>
      <c r="E44" s="45">
        <v>1</v>
      </c>
      <c r="F44" s="45">
        <v>0</v>
      </c>
      <c r="G44" s="45">
        <v>0</v>
      </c>
      <c r="H44" s="46">
        <v>1.0241800000000001</v>
      </c>
      <c r="I44" s="46">
        <v>1.0373000000000001</v>
      </c>
      <c r="J44" s="46">
        <v>1.07429</v>
      </c>
      <c r="K44" s="46"/>
      <c r="L44" s="44">
        <v>0</v>
      </c>
      <c r="M44" s="47">
        <v>0</v>
      </c>
      <c r="N44" s="48">
        <v>0</v>
      </c>
      <c r="O44" s="49">
        <v>0</v>
      </c>
      <c r="P44" s="59" t="s">
        <v>2</v>
      </c>
      <c r="Q44" s="50">
        <v>0</v>
      </c>
    </row>
    <row r="46" spans="1:22" ht="15.75" thickBot="1" x14ac:dyDescent="0.3">
      <c r="A46" s="41" t="s">
        <v>40</v>
      </c>
      <c r="B46" s="60">
        <v>1046851.247837943</v>
      </c>
      <c r="C46" s="61">
        <v>0</v>
      </c>
      <c r="D46" s="62">
        <v>1046851.247837943</v>
      </c>
      <c r="E46" s="63" t="s">
        <v>2</v>
      </c>
      <c r="F46" s="63" t="s">
        <v>2</v>
      </c>
      <c r="G46" s="63" t="s">
        <v>2</v>
      </c>
      <c r="H46" s="64" t="s">
        <v>2</v>
      </c>
      <c r="I46" s="64" t="s">
        <v>2</v>
      </c>
      <c r="J46" s="64" t="s">
        <v>2</v>
      </c>
      <c r="K46" s="64"/>
      <c r="L46" s="62">
        <v>1072164.1110106646</v>
      </c>
      <c r="M46" s="65">
        <v>0</v>
      </c>
      <c r="N46" s="66">
        <v>0</v>
      </c>
      <c r="O46" s="67">
        <v>1072164.1110106646</v>
      </c>
      <c r="P46" s="68" t="s">
        <v>2</v>
      </c>
      <c r="Q46" s="69">
        <v>5.0161636020705523E-2</v>
      </c>
    </row>
    <row r="48" spans="1:22" ht="15" thickBot="1" x14ac:dyDescent="0.35">
      <c r="A48" s="41" t="s">
        <v>41</v>
      </c>
      <c r="B48" s="70">
        <v>19965485.387013808</v>
      </c>
      <c r="C48" s="71">
        <v>0</v>
      </c>
      <c r="D48" s="72">
        <v>19965485.387013808</v>
      </c>
      <c r="E48" s="73" t="s">
        <v>2</v>
      </c>
      <c r="F48" s="73" t="s">
        <v>2</v>
      </c>
      <c r="G48" s="73" t="s">
        <v>2</v>
      </c>
      <c r="H48" s="74" t="s">
        <v>2</v>
      </c>
      <c r="I48" s="74" t="s">
        <v>2</v>
      </c>
      <c r="J48" s="74" t="s">
        <v>2</v>
      </c>
      <c r="K48" s="74"/>
      <c r="L48" s="72">
        <v>1272388.6668021772</v>
      </c>
      <c r="M48" s="75">
        <v>344413.59758104355</v>
      </c>
      <c r="N48" s="76">
        <v>19757383.190176141</v>
      </c>
      <c r="O48" s="77">
        <v>21374185.454559356</v>
      </c>
      <c r="P48" s="78" t="s">
        <v>2</v>
      </c>
      <c r="Q48" s="79">
        <v>1</v>
      </c>
    </row>
    <row r="51" spans="1:17" ht="15" thickBot="1" x14ac:dyDescent="0.35">
      <c r="A51" s="80" t="s">
        <v>42</v>
      </c>
      <c r="B51" s="81" t="s">
        <v>2</v>
      </c>
      <c r="C51" s="82" t="s">
        <v>2</v>
      </c>
      <c r="D51" s="83" t="s">
        <v>2</v>
      </c>
      <c r="E51" s="84" t="s">
        <v>2</v>
      </c>
      <c r="F51" s="84" t="s">
        <v>2</v>
      </c>
      <c r="G51" s="84" t="s">
        <v>2</v>
      </c>
      <c r="H51" s="85" t="s">
        <v>2</v>
      </c>
      <c r="I51" s="85" t="s">
        <v>2</v>
      </c>
      <c r="J51" s="85" t="s">
        <v>2</v>
      </c>
      <c r="K51" s="85"/>
      <c r="L51" s="83" t="s">
        <v>2</v>
      </c>
      <c r="M51" s="86" t="s">
        <v>2</v>
      </c>
      <c r="N51" s="87" t="s">
        <v>2</v>
      </c>
      <c r="O51" s="88">
        <v>0.94983836397929455</v>
      </c>
      <c r="P51" s="89" t="s">
        <v>2</v>
      </c>
      <c r="Q51" s="90" t="s">
        <v>2</v>
      </c>
    </row>
    <row r="53" spans="1:17" ht="15" x14ac:dyDescent="0.25">
      <c r="A53" s="91" t="s">
        <v>2</v>
      </c>
    </row>
    <row r="54" spans="1:17" x14ac:dyDescent="0.3">
      <c r="A54" s="91" t="s">
        <v>43</v>
      </c>
    </row>
  </sheetData>
  <mergeCells count="7">
    <mergeCell ref="R14:V14"/>
    <mergeCell ref="P14:Q14"/>
    <mergeCell ref="A14:A15"/>
    <mergeCell ref="B14:D14"/>
    <mergeCell ref="E14:G14"/>
    <mergeCell ref="H14:J14"/>
    <mergeCell ref="L14:O14"/>
  </mergeCells>
  <pageMargins left="0.5" right="0.5" top="0.75" bottom="0.5" header="0.75" footer="0.5"/>
  <pageSetup scale="66" orientation="landscape"/>
  <headerFooter>
    <oddHeader>&amp;R&amp;10&amp;"Arial,"
&amp;10&amp;"Arial,"
&amp;10&amp;"Arial,"FLORIDA POWER &amp;&amp; LIGHT COMPANY
&amp;10&amp;"Arial,"AND SUBSIDIARIES
&amp;10&amp;"Arial,"DOCKET NO. 120015-El
&amp;10&amp;"Arial,"MFR NO. E-10
&amp;10&amp;"Arial,"ATTACHMENT NO. 2 OF 2
&amp;10&amp;"Arial,"PAGE &amp;P OF &amp;N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showGridLines="0" zoomScale="75" workbookViewId="0">
      <selection activeCell="A2" sqref="A1:A2"/>
    </sheetView>
  </sheetViews>
  <sheetFormatPr defaultColWidth="9.109375" defaultRowHeight="13.2" x14ac:dyDescent="0.25"/>
  <cols>
    <col min="1" max="1" width="40.6640625" style="128" customWidth="1"/>
    <col min="2" max="2" width="16.6640625" style="150" bestFit="1" customWidth="1"/>
    <col min="3" max="3" width="17.33203125" style="126" bestFit="1" customWidth="1"/>
    <col min="4" max="4" width="14.109375" style="126" customWidth="1"/>
    <col min="5" max="5" width="23.44140625" style="126" customWidth="1"/>
    <col min="6" max="6" width="19.33203125" style="151" customWidth="1"/>
    <col min="7" max="7" width="20.88671875" style="151" customWidth="1"/>
    <col min="8" max="8" width="14" style="150" customWidth="1"/>
    <col min="9" max="16384" width="9.109375" style="128"/>
  </cols>
  <sheetData>
    <row r="1" spans="1:8" ht="14.4" x14ac:dyDescent="0.3">
      <c r="A1" s="196" t="s">
        <v>143</v>
      </c>
    </row>
    <row r="2" spans="1:8" ht="14.4" x14ac:dyDescent="0.3">
      <c r="A2" s="196" t="s">
        <v>141</v>
      </c>
    </row>
    <row r="4" spans="1:8" ht="21" x14ac:dyDescent="0.4">
      <c r="A4" s="193" t="s">
        <v>111</v>
      </c>
      <c r="B4" s="193"/>
      <c r="C4" s="193"/>
      <c r="D4" s="193"/>
      <c r="E4" s="193"/>
      <c r="F4" s="193"/>
      <c r="G4" s="193"/>
      <c r="H4" s="193"/>
    </row>
    <row r="5" spans="1:8" ht="21" x14ac:dyDescent="0.4">
      <c r="A5" s="193" t="str">
        <f>'LF Analysis'!A5</f>
        <v>January 2017 through December 2017</v>
      </c>
      <c r="B5" s="193"/>
      <c r="C5" s="193"/>
      <c r="D5" s="193"/>
      <c r="E5" s="193"/>
      <c r="F5" s="193"/>
      <c r="G5" s="193"/>
      <c r="H5" s="193"/>
    </row>
    <row r="6" spans="1:8" ht="13.8" x14ac:dyDescent="0.25">
      <c r="A6" s="194" t="s">
        <v>68</v>
      </c>
      <c r="B6" s="194"/>
      <c r="C6" s="194"/>
      <c r="D6" s="194"/>
      <c r="E6" s="194"/>
      <c r="F6" s="194"/>
      <c r="G6" s="194"/>
      <c r="H6" s="194"/>
    </row>
    <row r="7" spans="1:8" ht="21" x14ac:dyDescent="0.4">
      <c r="A7" s="131"/>
    </row>
    <row r="9" spans="1:8" x14ac:dyDescent="0.25">
      <c r="A9" s="134" t="s">
        <v>112</v>
      </c>
      <c r="B9" s="152" t="s">
        <v>113</v>
      </c>
      <c r="C9" s="133" t="s">
        <v>114</v>
      </c>
      <c r="D9" s="153" t="s">
        <v>113</v>
      </c>
      <c r="E9" s="153"/>
      <c r="F9" s="195" t="s">
        <v>115</v>
      </c>
      <c r="G9" s="195"/>
      <c r="H9" s="195"/>
    </row>
    <row r="10" spans="1:8" s="156" customFormat="1" ht="30" customHeight="1" x14ac:dyDescent="0.25">
      <c r="A10" s="134" t="s">
        <v>116</v>
      </c>
      <c r="B10" s="152" t="s">
        <v>115</v>
      </c>
      <c r="C10" s="133" t="s">
        <v>117</v>
      </c>
      <c r="D10" s="133" t="s">
        <v>118</v>
      </c>
      <c r="E10" s="154" t="s">
        <v>119</v>
      </c>
      <c r="F10" s="133" t="s">
        <v>120</v>
      </c>
      <c r="G10" s="155" t="s">
        <v>121</v>
      </c>
      <c r="H10" s="152" t="s">
        <v>122</v>
      </c>
    </row>
    <row r="11" spans="1:8" s="156" customFormat="1" x14ac:dyDescent="0.25">
      <c r="A11" s="134"/>
      <c r="B11" s="152" t="s">
        <v>123</v>
      </c>
      <c r="C11" s="133" t="s">
        <v>124</v>
      </c>
      <c r="D11" s="157"/>
      <c r="E11" s="154" t="s">
        <v>125</v>
      </c>
      <c r="F11" s="154" t="s">
        <v>125</v>
      </c>
      <c r="G11" s="154" t="s">
        <v>125</v>
      </c>
      <c r="H11" s="152"/>
    </row>
    <row r="12" spans="1:8" s="156" customFormat="1" ht="13.8" thickBot="1" x14ac:dyDescent="0.3">
      <c r="A12" s="158"/>
      <c r="B12" s="159"/>
      <c r="C12" s="160"/>
      <c r="D12" s="161"/>
      <c r="E12" s="161"/>
      <c r="F12" s="161"/>
      <c r="G12" s="161"/>
      <c r="H12" s="159"/>
    </row>
    <row r="14" spans="1:8" ht="14.1" customHeight="1" x14ac:dyDescent="0.25">
      <c r="A14" s="156" t="s">
        <v>26</v>
      </c>
      <c r="B14" s="162">
        <f>+C14/8760/D14</f>
        <v>0.62861485309930165</v>
      </c>
      <c r="C14" s="151">
        <f>+VLOOKUP($A14,'LF Analysis'!$A$14:$O$27,3,FALSE)</f>
        <v>57507710080</v>
      </c>
      <c r="D14" s="151">
        <f>+VLOOKUP($A14,'LF Analysis'!$A$14:$O$27,5,FALSE)</f>
        <v>10443289.805182116</v>
      </c>
      <c r="E14" s="151"/>
      <c r="F14" s="151">
        <f>+VLOOKUP($A14,'LF Analysis'!$A$14:$O$27,11,FALSE)</f>
        <v>27505799.319059569</v>
      </c>
      <c r="H14" s="163">
        <f>+C14/8760/F14</f>
        <v>0.23866992595299874</v>
      </c>
    </row>
    <row r="15" spans="1:8" ht="14.1" customHeight="1" x14ac:dyDescent="0.25">
      <c r="A15" s="156" t="s">
        <v>23</v>
      </c>
      <c r="B15" s="162">
        <f t="shared" ref="B15:B27" si="0">+C15/8760/D15</f>
        <v>0.69475660222084701</v>
      </c>
      <c r="C15" s="151">
        <f>+VLOOKUP($A15,'LF Analysis'!$A$14:$O$27,3,FALSE)</f>
        <v>6017304017</v>
      </c>
      <c r="D15" s="151">
        <f>+VLOOKUP($A15,'LF Analysis'!$A$14:$O$27,5,FALSE)</f>
        <v>988701.4373954176</v>
      </c>
      <c r="E15" s="151"/>
      <c r="F15" s="151">
        <f>+VLOOKUP($A15,'LF Analysis'!$A$14:$O$27,11,FALSE)</f>
        <v>2013398.9279461752</v>
      </c>
      <c r="H15" s="163">
        <f>+C15/8760/F15</f>
        <v>0.34116778434783745</v>
      </c>
    </row>
    <row r="16" spans="1:8" ht="14.1" customHeight="1" x14ac:dyDescent="0.25">
      <c r="A16" s="149" t="s">
        <v>86</v>
      </c>
      <c r="B16" s="162">
        <f t="shared" si="0"/>
        <v>0.77062718000407582</v>
      </c>
      <c r="C16" s="151">
        <f>+VLOOKUP($A16,'LF Analysis'!$A$14:$O$27,3,FALSE)</f>
        <v>26017376183</v>
      </c>
      <c r="D16" s="151">
        <f>+VLOOKUP($A16,'LF Analysis'!$A$14:$O$27,5,FALSE)</f>
        <v>3854029.7945355414</v>
      </c>
      <c r="E16" s="151"/>
      <c r="F16" s="151">
        <f>+VLOOKUP($A16,'LF Analysis'!$A$14:$O$27,11,FALSE)</f>
        <v>5881181.6062718211</v>
      </c>
      <c r="H16" s="163">
        <f>+C16/8760/F16</f>
        <v>0.50500397897036831</v>
      </c>
    </row>
    <row r="17" spans="1:8" ht="14.1" customHeight="1" x14ac:dyDescent="0.25">
      <c r="A17" s="156" t="s">
        <v>25</v>
      </c>
      <c r="B17" s="162">
        <f t="shared" si="0"/>
        <v>1.5137604294843177</v>
      </c>
      <c r="C17" s="151">
        <f>+VLOOKUP($A17,'LF Analysis'!$A$14:$O$27,3,FALSE)</f>
        <v>10819466</v>
      </c>
      <c r="D17" s="151">
        <f>+VLOOKUP($A17,'LF Analysis'!$A$14:$O$27,5,FALSE)</f>
        <v>815.91435103653828</v>
      </c>
      <c r="E17" s="151"/>
      <c r="F17" s="151">
        <f>+VLOOKUP($A17,'LF Analysis'!$A$14:$O$27,11,FALSE)</f>
        <v>12933.1126208973</v>
      </c>
      <c r="H17" s="163">
        <f>+C17/8760/F17</f>
        <v>9.5498964143544071E-2</v>
      </c>
    </row>
    <row r="18" spans="1:8" ht="14.1" customHeight="1" x14ac:dyDescent="0.25">
      <c r="A18" s="149" t="s">
        <v>88</v>
      </c>
      <c r="B18" s="162">
        <f t="shared" si="0"/>
        <v>0.77636089376529838</v>
      </c>
      <c r="C18" s="151">
        <f>+VLOOKUP($A18,'LF Analysis'!$A$14:$O$27,3,FALSE)</f>
        <v>10588644419</v>
      </c>
      <c r="D18" s="151">
        <f>+VLOOKUP($A18,'LF Analysis'!$A$14:$O$27,5,FALSE)</f>
        <v>1556942.6185767679</v>
      </c>
      <c r="E18" s="151"/>
      <c r="F18" s="151">
        <f>+VLOOKUP($A18,'LF Analysis'!$A$14:$O$27,11,FALSE)</f>
        <v>2114794.4008058771</v>
      </c>
      <c r="H18" s="163">
        <f>+C18/8760/F18</f>
        <v>0.57156826329733512</v>
      </c>
    </row>
    <row r="19" spans="1:8" ht="14.1" customHeight="1" x14ac:dyDescent="0.25">
      <c r="A19" s="149" t="s">
        <v>90</v>
      </c>
      <c r="B19" s="162">
        <f t="shared" si="0"/>
        <v>0.91995029591318211</v>
      </c>
      <c r="C19" s="151">
        <f>+VLOOKUP($A19,'LF Analysis'!$A$14:$O$27,3,FALSE)</f>
        <v>2517488592</v>
      </c>
      <c r="D19" s="151">
        <f>+VLOOKUP($A19,'LF Analysis'!$A$14:$O$27,5,FALSE)</f>
        <v>312391.3799935063</v>
      </c>
      <c r="E19" s="151"/>
      <c r="F19" s="151">
        <f>+VLOOKUP($A19,'LF Analysis'!$A$14:$O$27,11,FALSE)</f>
        <v>437167.85136880982</v>
      </c>
      <c r="H19" s="163">
        <f t="shared" ref="H19:H22" si="1">+C19/8760/F19</f>
        <v>0.65737803355376645</v>
      </c>
    </row>
    <row r="20" spans="1:8" ht="14.1" customHeight="1" x14ac:dyDescent="0.25">
      <c r="A20" s="156" t="s">
        <v>92</v>
      </c>
      <c r="B20" s="162">
        <f t="shared" si="0"/>
        <v>0.93049396294557007</v>
      </c>
      <c r="C20" s="151">
        <f>+VLOOKUP($A20,'LF Analysis'!$A$14:$O$27,3,FALSE)</f>
        <v>175810042</v>
      </c>
      <c r="D20" s="151">
        <f>+VLOOKUP($A20,'LF Analysis'!$A$14:$O$27,5,FALSE)</f>
        <v>21568.80140757118</v>
      </c>
      <c r="E20" s="151"/>
      <c r="G20" s="151">
        <f>+VLOOKUP($A20,'LF Analysis'!$A$14:$O$27,14,FALSE)</f>
        <v>33960</v>
      </c>
      <c r="H20" s="163">
        <f>+C20/8760/G20</f>
        <v>0.59097878379613944</v>
      </c>
    </row>
    <row r="21" spans="1:8" ht="14.1" customHeight="1" x14ac:dyDescent="0.25">
      <c r="A21" s="156" t="s">
        <v>101</v>
      </c>
      <c r="B21" s="162">
        <f t="shared" si="0"/>
        <v>1.6973779931299779</v>
      </c>
      <c r="C21" s="151">
        <f>+VLOOKUP($A21,'LF Analysis'!$A$14:$O$27,3,FALSE)</f>
        <v>89667754</v>
      </c>
      <c r="D21" s="151">
        <f>+VLOOKUP($A21,'LF Analysis'!$A$14:$O$27,5,FALSE)</f>
        <v>6030.5041178798392</v>
      </c>
      <c r="E21" s="151"/>
      <c r="F21" s="151">
        <f>+VLOOKUP($A21,'LF Analysis'!$A$14:$O$27,11,FALSE)</f>
        <v>90102.460205345778</v>
      </c>
      <c r="H21" s="163">
        <f t="shared" si="1"/>
        <v>0.11360450040809923</v>
      </c>
    </row>
    <row r="22" spans="1:8" ht="14.1" customHeight="1" x14ac:dyDescent="0.25">
      <c r="A22" s="156" t="s">
        <v>99</v>
      </c>
      <c r="B22" s="162">
        <f t="shared" si="0"/>
        <v>0.81305192392116021</v>
      </c>
      <c r="C22" s="151">
        <f>+VLOOKUP($A22,'LF Analysis'!$A$14:$O$27,3,FALSE)</f>
        <v>11856926</v>
      </c>
      <c r="D22" s="151">
        <f>+VLOOKUP($A22,'LF Analysis'!$A$14:$O$27,5,FALSE)</f>
        <v>1664.7526750432392</v>
      </c>
      <c r="E22" s="151"/>
      <c r="F22" s="151">
        <f>+VLOOKUP($A22,'LF Analysis'!$A$14:$O$27,11,FALSE)</f>
        <v>4550.257545735104</v>
      </c>
      <c r="H22" s="163">
        <f t="shared" si="1"/>
        <v>0.29746236376563995</v>
      </c>
    </row>
    <row r="23" spans="1:8" ht="14.1" customHeight="1" x14ac:dyDescent="0.25">
      <c r="A23" s="156" t="s">
        <v>83</v>
      </c>
      <c r="B23" s="162">
        <f t="shared" si="0"/>
        <v>0.91658548420808617</v>
      </c>
      <c r="C23" s="151">
        <f>+VLOOKUP($A23,'LF Analysis'!$A$14:$O$27,3,FALSE)</f>
        <v>2793758483</v>
      </c>
      <c r="D23" s="151">
        <f>+VLOOKUP($A23,'LF Analysis'!$A$14:$O$27,5,FALSE)</f>
        <v>347945.94366858318</v>
      </c>
      <c r="E23" s="151"/>
      <c r="G23" s="151">
        <f>+VLOOKUP($A23,'LF Analysis'!$A$14:$O$27,14,FALSE)</f>
        <v>492879.66666666669</v>
      </c>
      <c r="H23" s="163">
        <f>+C23/8760/G23</f>
        <v>0.64705895338018493</v>
      </c>
    </row>
    <row r="24" spans="1:8" ht="14.1" customHeight="1" x14ac:dyDescent="0.25">
      <c r="A24" s="156" t="s">
        <v>18</v>
      </c>
      <c r="B24" s="162">
        <f t="shared" si="0"/>
        <v>0.97642671174339857</v>
      </c>
      <c r="C24" s="151">
        <f>+VLOOKUP($A24,'LF Analysis'!$A$14:$O$27,3,FALSE)</f>
        <v>1532764787</v>
      </c>
      <c r="D24" s="151">
        <f>+VLOOKUP($A24,'LF Analysis'!$A$14:$O$27,5,FALSE)</f>
        <v>179197.42167694357</v>
      </c>
      <c r="E24" s="151"/>
      <c r="G24" s="151">
        <f>+VLOOKUP($A24,'LF Analysis'!$A$14:$O$27,14,FALSE)</f>
        <v>210531.33333333334</v>
      </c>
      <c r="H24" s="163">
        <f>+C24/8760/G24</f>
        <v>0.83110265075782808</v>
      </c>
    </row>
    <row r="25" spans="1:8" ht="14.1" customHeight="1" x14ac:dyDescent="0.25">
      <c r="A25" s="156" t="s">
        <v>24</v>
      </c>
      <c r="B25" s="162">
        <f t="shared" si="0"/>
        <v>0.49848762135357827</v>
      </c>
      <c r="C25" s="151">
        <f>+VLOOKUP($A25,'LF Analysis'!$A$14:$O$27,3,FALSE)</f>
        <v>91241144</v>
      </c>
      <c r="D25" s="151">
        <f>+VLOOKUP($A25,'LF Analysis'!$A$14:$O$27,5,FALSE)</f>
        <v>20894.512243814999</v>
      </c>
      <c r="E25" s="151">
        <f>+VLOOKUP($A25,'LF Analysis'!$A$14:$O$27,8,FALSE)</f>
        <v>23985.648697802604</v>
      </c>
      <c r="H25" s="163">
        <f>+$C25/8760/E25</f>
        <v>0.43424532056607523</v>
      </c>
    </row>
    <row r="26" spans="1:8" ht="14.1" customHeight="1" x14ac:dyDescent="0.25">
      <c r="A26" s="156" t="s">
        <v>94</v>
      </c>
      <c r="B26" s="162">
        <f t="shared" si="0"/>
        <v>3.1162698586955289</v>
      </c>
      <c r="C26" s="151">
        <f>+VLOOKUP($A26,'LF Analysis'!$A$14:$O$27,3,FALSE)</f>
        <v>668557054</v>
      </c>
      <c r="D26" s="151">
        <f>+VLOOKUP($A26,'LF Analysis'!$A$14:$O$27,5,FALSE)</f>
        <v>24490.593518038182</v>
      </c>
      <c r="E26" s="151"/>
      <c r="F26" s="151">
        <f>+VLOOKUP($A26,'LF Analysis'!$A$14:$O$27,11,FALSE)</f>
        <v>153682.37976917459</v>
      </c>
      <c r="H26" s="163">
        <f>+C26/8760/F26</f>
        <v>0.49660409030921648</v>
      </c>
    </row>
    <row r="27" spans="1:8" ht="14.1" customHeight="1" x14ac:dyDescent="0.25">
      <c r="A27" s="156" t="s">
        <v>97</v>
      </c>
      <c r="B27" s="162">
        <f t="shared" si="0"/>
        <v>1.0129184100782922</v>
      </c>
      <c r="C27" s="151">
        <f>+VLOOKUP($A27,'LF Analysis'!$A$14:$O$27,3,FALSE)</f>
        <v>104537486</v>
      </c>
      <c r="D27" s="151">
        <f>+VLOOKUP($A27,'LF Analysis'!$A$14:$O$27,5,FALSE)</f>
        <v>11781.307210236357</v>
      </c>
      <c r="E27" s="151"/>
      <c r="F27" s="151">
        <f>+VLOOKUP($A27,'LF Analysis'!$A$14:$O$27,11,FALSE)</f>
        <v>12363.282645920508</v>
      </c>
      <c r="H27" s="163">
        <f>+C27/8760/F27</f>
        <v>0.96523741386550022</v>
      </c>
    </row>
    <row r="29" spans="1:8" ht="13.8" thickBot="1" x14ac:dyDescent="0.3">
      <c r="A29" s="128" t="s">
        <v>126</v>
      </c>
      <c r="C29" s="146">
        <f>SUM(C14:C28)</f>
        <v>108127536433</v>
      </c>
      <c r="D29" s="146">
        <f t="shared" ref="D29:G29" si="2">SUM(D14:D28)</f>
        <v>17769744.786552496</v>
      </c>
      <c r="E29" s="146">
        <f t="shared" si="2"/>
        <v>23985.648697802604</v>
      </c>
      <c r="F29" s="146">
        <f t="shared" si="2"/>
        <v>38225973.598239318</v>
      </c>
      <c r="G29" s="146">
        <f t="shared" si="2"/>
        <v>737371.00000000012</v>
      </c>
    </row>
    <row r="30" spans="1:8" ht="13.8" thickTop="1" x14ac:dyDescent="0.25"/>
    <row r="32" spans="1:8" x14ac:dyDescent="0.25">
      <c r="A32" s="128" t="s">
        <v>127</v>
      </c>
    </row>
    <row r="33" spans="1:7" x14ac:dyDescent="0.25">
      <c r="A33" s="128" t="s">
        <v>128</v>
      </c>
    </row>
    <row r="34" spans="1:7" x14ac:dyDescent="0.25">
      <c r="A34" s="149" t="s">
        <v>129</v>
      </c>
    </row>
    <row r="35" spans="1:7" x14ac:dyDescent="0.25">
      <c r="A35" s="149" t="s">
        <v>130</v>
      </c>
    </row>
    <row r="36" spans="1:7" x14ac:dyDescent="0.25">
      <c r="A36" s="156" t="s">
        <v>131</v>
      </c>
    </row>
    <row r="37" spans="1:7" s="150" customFormat="1" x14ac:dyDescent="0.25">
      <c r="A37" s="156" t="s">
        <v>132</v>
      </c>
      <c r="C37" s="126"/>
      <c r="D37" s="126"/>
      <c r="E37" s="126"/>
      <c r="F37" s="151"/>
      <c r="G37" s="151"/>
    </row>
    <row r="38" spans="1:7" s="150" customFormat="1" x14ac:dyDescent="0.25">
      <c r="A38" s="156" t="s">
        <v>133</v>
      </c>
      <c r="C38" s="126"/>
      <c r="D38" s="126"/>
      <c r="E38" s="126"/>
      <c r="F38" s="151"/>
      <c r="G38" s="151"/>
    </row>
    <row r="39" spans="1:7" s="150" customFormat="1" x14ac:dyDescent="0.25">
      <c r="A39" s="156" t="s">
        <v>134</v>
      </c>
      <c r="C39" s="126"/>
      <c r="D39" s="126"/>
      <c r="E39" s="126"/>
      <c r="F39" s="151"/>
      <c r="G39" s="151"/>
    </row>
    <row r="40" spans="1:7" s="150" customFormat="1" x14ac:dyDescent="0.25">
      <c r="A40" s="156" t="s">
        <v>135</v>
      </c>
      <c r="C40" s="126"/>
      <c r="D40" s="126"/>
      <c r="E40" s="126"/>
      <c r="F40" s="151"/>
      <c r="G40" s="151"/>
    </row>
  </sheetData>
  <mergeCells count="4">
    <mergeCell ref="A4:H4"/>
    <mergeCell ref="A5:H5"/>
    <mergeCell ref="A6:H6"/>
    <mergeCell ref="F9:H9"/>
  </mergeCells>
  <printOptions horizontalCentered="1"/>
  <pageMargins left="0" right="0" top="0.75" bottom="0.5" header="0.5" footer="0.5"/>
  <pageSetup scale="9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9"/>
  <sheetViews>
    <sheetView showGridLines="0" zoomScale="75" zoomScaleNormal="75" zoomScaleSheetLayoutView="75" workbookViewId="0">
      <selection activeCell="A2" sqref="A1:A2"/>
    </sheetView>
  </sheetViews>
  <sheetFormatPr defaultColWidth="9.109375" defaultRowHeight="13.2" x14ac:dyDescent="0.25"/>
  <cols>
    <col min="1" max="1" width="46" style="128" customWidth="1"/>
    <col min="2" max="2" width="23.6640625" style="125" customWidth="1"/>
    <col min="3" max="3" width="17.33203125" style="126" bestFit="1" customWidth="1"/>
    <col min="4" max="4" width="1.6640625" style="126" customWidth="1"/>
    <col min="5" max="5" width="12.6640625" style="126" customWidth="1"/>
    <col min="6" max="6" width="12.33203125" style="127" bestFit="1" customWidth="1"/>
    <col min="7" max="7" width="1.6640625" style="128" customWidth="1"/>
    <col min="8" max="8" width="12.5546875" style="126" bestFit="1" customWidth="1"/>
    <col min="9" max="9" width="11.6640625" style="127" customWidth="1"/>
    <col min="10" max="10" width="1.6640625" style="128" customWidth="1"/>
    <col min="11" max="11" width="12.6640625" style="126" customWidth="1"/>
    <col min="12" max="12" width="11.6640625" style="127" customWidth="1"/>
    <col min="13" max="13" width="1.6640625" style="128" customWidth="1"/>
    <col min="14" max="14" width="12.6640625" style="126" customWidth="1"/>
    <col min="15" max="15" width="11.6640625" style="127" customWidth="1"/>
    <col min="16" max="16384" width="9.109375" style="128"/>
  </cols>
  <sheetData>
    <row r="1" spans="1:15" ht="14.4" x14ac:dyDescent="0.3">
      <c r="A1" s="196" t="s">
        <v>144</v>
      </c>
    </row>
    <row r="2" spans="1:15" ht="14.4" x14ac:dyDescent="0.3">
      <c r="A2" s="196" t="s">
        <v>141</v>
      </c>
    </row>
    <row r="4" spans="1:15" ht="21" x14ac:dyDescent="0.4">
      <c r="A4" s="124" t="s">
        <v>66</v>
      </c>
    </row>
    <row r="5" spans="1:15" ht="21" x14ac:dyDescent="0.4">
      <c r="A5" s="124" t="s">
        <v>67</v>
      </c>
    </row>
    <row r="6" spans="1:15" s="130" customFormat="1" ht="13.8" x14ac:dyDescent="0.25">
      <c r="A6" s="129" t="s">
        <v>68</v>
      </c>
      <c r="B6" s="129"/>
      <c r="C6" s="129"/>
      <c r="D6" s="129"/>
      <c r="E6" s="129"/>
      <c r="F6" s="129"/>
    </row>
    <row r="7" spans="1:15" ht="21" x14ac:dyDescent="0.4">
      <c r="A7" s="131"/>
    </row>
    <row r="8" spans="1:15" ht="12.75" customHeight="1" x14ac:dyDescent="0.25">
      <c r="C8" s="128"/>
      <c r="D8" s="128"/>
      <c r="E8" s="128"/>
      <c r="F8" s="128"/>
      <c r="H8" s="128"/>
      <c r="O8" s="132" t="s">
        <v>69</v>
      </c>
    </row>
    <row r="9" spans="1:15" x14ac:dyDescent="0.25">
      <c r="F9" s="132" t="s">
        <v>69</v>
      </c>
      <c r="I9" s="132" t="s">
        <v>69</v>
      </c>
      <c r="L9" s="132" t="s">
        <v>69</v>
      </c>
      <c r="N9" s="133" t="s">
        <v>69</v>
      </c>
      <c r="O9" s="132" t="s">
        <v>59</v>
      </c>
    </row>
    <row r="10" spans="1:15" x14ac:dyDescent="0.25">
      <c r="C10" s="133" t="s">
        <v>70</v>
      </c>
      <c r="D10" s="133"/>
      <c r="E10" s="133" t="s">
        <v>69</v>
      </c>
      <c r="F10" s="132" t="s">
        <v>61</v>
      </c>
      <c r="H10" s="133" t="s">
        <v>69</v>
      </c>
      <c r="I10" s="132" t="s">
        <v>62</v>
      </c>
      <c r="K10" s="133" t="s">
        <v>69</v>
      </c>
      <c r="L10" s="132" t="s">
        <v>59</v>
      </c>
      <c r="N10" s="133" t="s">
        <v>59</v>
      </c>
      <c r="O10" s="132" t="s">
        <v>71</v>
      </c>
    </row>
    <row r="11" spans="1:15" x14ac:dyDescent="0.25">
      <c r="A11" s="134" t="s">
        <v>72</v>
      </c>
      <c r="B11" s="134" t="s">
        <v>72</v>
      </c>
      <c r="C11" s="133" t="s">
        <v>73</v>
      </c>
      <c r="D11" s="133"/>
      <c r="E11" s="133" t="s">
        <v>61</v>
      </c>
      <c r="F11" s="132" t="s">
        <v>74</v>
      </c>
      <c r="H11" s="133" t="s">
        <v>62</v>
      </c>
      <c r="I11" s="132" t="s">
        <v>74</v>
      </c>
      <c r="K11" s="133" t="s">
        <v>59</v>
      </c>
      <c r="L11" s="132" t="s">
        <v>74</v>
      </c>
      <c r="N11" s="133" t="s">
        <v>71</v>
      </c>
      <c r="O11" s="132" t="s">
        <v>74</v>
      </c>
    </row>
    <row r="12" spans="1:15" x14ac:dyDescent="0.25">
      <c r="A12" s="135" t="s">
        <v>75</v>
      </c>
      <c r="B12" s="135" t="s">
        <v>76</v>
      </c>
      <c r="C12" s="136" t="s">
        <v>77</v>
      </c>
      <c r="D12" s="136"/>
      <c r="E12" s="136" t="s">
        <v>78</v>
      </c>
      <c r="F12" s="137" t="s">
        <v>79</v>
      </c>
      <c r="H12" s="136" t="s">
        <v>78</v>
      </c>
      <c r="I12" s="137" t="s">
        <v>80</v>
      </c>
      <c r="K12" s="136" t="s">
        <v>78</v>
      </c>
      <c r="L12" s="137" t="s">
        <v>81</v>
      </c>
      <c r="N12" s="136" t="s">
        <v>78</v>
      </c>
      <c r="O12" s="137" t="s">
        <v>82</v>
      </c>
    </row>
    <row r="14" spans="1:15" ht="14.1" customHeight="1" x14ac:dyDescent="0.25">
      <c r="A14" s="138" t="s">
        <v>83</v>
      </c>
      <c r="B14" s="139" t="s">
        <v>84</v>
      </c>
      <c r="C14" s="126">
        <f>(MFR_E_10_Attachment_2__FPL201!B9+MFR_E_10_Attachment_2__FPL201!B10)*1000</f>
        <v>2793758483</v>
      </c>
      <c r="E14" s="140">
        <f>'CP Analysis - From Load Researc'!B5</f>
        <v>347945.94366858318</v>
      </c>
      <c r="F14" s="141">
        <f>+C14/8760/E14</f>
        <v>0.91658548420808617</v>
      </c>
      <c r="H14" s="140">
        <f>'CP Analysis - From Load Researc'!C5</f>
        <v>373208.36623581196</v>
      </c>
      <c r="I14" s="141">
        <f>+$C14/8760/H14</f>
        <v>0.85454193986154259</v>
      </c>
      <c r="J14" s="142"/>
      <c r="K14" s="140">
        <f>'CP Analysis - From Load Researc'!D5</f>
        <v>449258.08948981512</v>
      </c>
      <c r="L14" s="141">
        <f>+$C14/8760/K14</f>
        <v>0.70988638539125937</v>
      </c>
      <c r="M14" s="142"/>
      <c r="N14" s="140">
        <f>'CP Analysis - From Load Researc'!E5</f>
        <v>492879.66666666669</v>
      </c>
      <c r="O14" s="141">
        <f t="shared" ref="O14:O27" si="0">+C14/8760/N14</f>
        <v>0.64705895338018493</v>
      </c>
    </row>
    <row r="15" spans="1:15" ht="14.1" customHeight="1" x14ac:dyDescent="0.25">
      <c r="A15" s="138" t="s">
        <v>18</v>
      </c>
      <c r="B15" s="139">
        <v>55</v>
      </c>
      <c r="C15" s="126">
        <f>(MFR_E_10_Attachment_2__FPL201!B11)*1000</f>
        <v>1532764787</v>
      </c>
      <c r="E15" s="140">
        <f>'CP Analysis - From Load Researc'!B6</f>
        <v>179197.42167694357</v>
      </c>
      <c r="F15" s="141">
        <f t="shared" ref="F15:F27" si="1">+C15/8760/E15</f>
        <v>0.97642671174339857</v>
      </c>
      <c r="H15" s="140">
        <f>'CP Analysis - From Load Researc'!C6</f>
        <v>202081.46223975054</v>
      </c>
      <c r="I15" s="141">
        <f t="shared" ref="I15:I27" si="2">+$C15/8760/H15</f>
        <v>0.86585452847388911</v>
      </c>
      <c r="J15" s="142"/>
      <c r="K15" s="140">
        <f>'CP Analysis - From Load Researc'!D6</f>
        <v>233674.6335320143</v>
      </c>
      <c r="L15" s="141">
        <f t="shared" ref="L15:L27" si="3">+C15/8760/K15</f>
        <v>0.7487896591777099</v>
      </c>
      <c r="M15" s="142"/>
      <c r="N15" s="140">
        <f>'CP Analysis - From Load Researc'!E6</f>
        <v>210531.33333333334</v>
      </c>
      <c r="O15" s="141">
        <f t="shared" si="0"/>
        <v>0.83110265075782808</v>
      </c>
    </row>
    <row r="16" spans="1:15" ht="14.1" customHeight="1" x14ac:dyDescent="0.25">
      <c r="A16" s="138" t="s">
        <v>23</v>
      </c>
      <c r="B16" s="139" t="s">
        <v>85</v>
      </c>
      <c r="C16" s="126">
        <f>(MFR_E_10_Attachment_2__FPL201!B17)*1000</f>
        <v>6017304017</v>
      </c>
      <c r="E16" s="140">
        <f>'CP Analysis - From Load Researc'!B12</f>
        <v>988701.4373954176</v>
      </c>
      <c r="F16" s="141">
        <f t="shared" si="1"/>
        <v>0.69475660222084701</v>
      </c>
      <c r="H16" s="140">
        <f>'CP Analysis - From Load Researc'!C12</f>
        <v>1138959.7691828783</v>
      </c>
      <c r="I16" s="141">
        <f t="shared" si="2"/>
        <v>0.60310018829595191</v>
      </c>
      <c r="J16" s="142"/>
      <c r="K16" s="140">
        <f>'CP Analysis - From Load Researc'!D12</f>
        <v>2013398.9279461752</v>
      </c>
      <c r="L16" s="141">
        <f t="shared" si="3"/>
        <v>0.34116778434783745</v>
      </c>
      <c r="M16" s="142"/>
      <c r="N16" s="140">
        <f>'CP Analysis - From Load Researc'!E12</f>
        <v>2068944.6666666667</v>
      </c>
      <c r="O16" s="141">
        <f t="shared" si="0"/>
        <v>0.33200832401303521</v>
      </c>
    </row>
    <row r="17" spans="1:15" ht="14.1" customHeight="1" x14ac:dyDescent="0.25">
      <c r="A17" s="143" t="s">
        <v>86</v>
      </c>
      <c r="B17" s="144" t="s">
        <v>87</v>
      </c>
      <c r="C17" s="126">
        <f>(MFR_E_10_Attachment_2__FPL201!B13)*1000</f>
        <v>26017376183</v>
      </c>
      <c r="E17" s="140">
        <f>'CP Analysis - From Load Researc'!B8</f>
        <v>3854029.7945355414</v>
      </c>
      <c r="F17" s="141">
        <f t="shared" si="1"/>
        <v>0.77062718000407582</v>
      </c>
      <c r="H17" s="140">
        <f>'CP Analysis - From Load Researc'!C8</f>
        <v>4275142.505962925</v>
      </c>
      <c r="I17" s="141">
        <f t="shared" si="2"/>
        <v>0.6947183884682343</v>
      </c>
      <c r="J17" s="142"/>
      <c r="K17" s="140">
        <f>'CP Analysis - From Load Researc'!D8</f>
        <v>5881181.6062718211</v>
      </c>
      <c r="L17" s="141">
        <f t="shared" si="3"/>
        <v>0.50500397897036831</v>
      </c>
      <c r="M17" s="142"/>
      <c r="N17" s="140">
        <f>'CP Analysis - From Load Researc'!E8</f>
        <v>5928182.333333333</v>
      </c>
      <c r="O17" s="141">
        <f t="shared" si="0"/>
        <v>0.50100012874344424</v>
      </c>
    </row>
    <row r="18" spans="1:15" ht="14.1" customHeight="1" x14ac:dyDescent="0.25">
      <c r="A18" s="143" t="s">
        <v>88</v>
      </c>
      <c r="B18" s="144" t="s">
        <v>89</v>
      </c>
      <c r="C18" s="126">
        <f>(MFR_E_10_Attachment_2__FPL201!B14)*1000</f>
        <v>10588644419</v>
      </c>
      <c r="E18" s="140">
        <f>'CP Analysis - From Load Researc'!B9</f>
        <v>1556942.6185767679</v>
      </c>
      <c r="F18" s="141">
        <f>+C18/8760/E18</f>
        <v>0.77636089376529838</v>
      </c>
      <c r="H18" s="140">
        <f>'CP Analysis - From Load Researc'!C9</f>
        <v>1786777.6768445729</v>
      </c>
      <c r="I18" s="141">
        <f t="shared" si="2"/>
        <v>0.67649679003947472</v>
      </c>
      <c r="J18" s="142"/>
      <c r="K18" s="140">
        <f>'CP Analysis - From Load Researc'!D9</f>
        <v>2114794.4008058771</v>
      </c>
      <c r="L18" s="141">
        <f t="shared" si="3"/>
        <v>0.57156826329733512</v>
      </c>
      <c r="M18" s="142"/>
      <c r="N18" s="140">
        <f>'CP Analysis - From Load Researc'!E9</f>
        <v>2217209.6666666665</v>
      </c>
      <c r="O18" s="141">
        <f t="shared" si="0"/>
        <v>0.54516691906578529</v>
      </c>
    </row>
    <row r="19" spans="1:15" ht="14.1" customHeight="1" x14ac:dyDescent="0.25">
      <c r="A19" s="143" t="s">
        <v>90</v>
      </c>
      <c r="B19" s="144" t="s">
        <v>91</v>
      </c>
      <c r="C19" s="126">
        <f>(MFR_E_10_Attachment_2__FPL201!B15)*1000</f>
        <v>2517488592</v>
      </c>
      <c r="E19" s="140">
        <f>'CP Analysis - From Load Researc'!B10</f>
        <v>312391.3799935063</v>
      </c>
      <c r="F19" s="141">
        <f t="shared" si="1"/>
        <v>0.91995029591318211</v>
      </c>
      <c r="H19" s="140">
        <f>'CP Analysis - From Load Researc'!C10</f>
        <v>351855.15189245</v>
      </c>
      <c r="I19" s="141">
        <f t="shared" si="2"/>
        <v>0.81676946016012009</v>
      </c>
      <c r="J19" s="142"/>
      <c r="K19" s="140">
        <f>'CP Analysis - From Load Researc'!D10</f>
        <v>437167.85136880982</v>
      </c>
      <c r="L19" s="141">
        <f t="shared" si="3"/>
        <v>0.65737803355376645</v>
      </c>
      <c r="M19" s="142"/>
      <c r="N19" s="140">
        <f>'CP Analysis - From Load Researc'!E10</f>
        <v>405971</v>
      </c>
      <c r="O19" s="141">
        <f t="shared" si="0"/>
        <v>0.707894264530603</v>
      </c>
    </row>
    <row r="20" spans="1:15" ht="14.1" customHeight="1" x14ac:dyDescent="0.25">
      <c r="A20" s="138" t="s">
        <v>92</v>
      </c>
      <c r="B20" s="139" t="s">
        <v>93</v>
      </c>
      <c r="C20" s="126">
        <f>(MFR_E_10_Attachment_2__FPL201!B16)*1000</f>
        <v>175810042</v>
      </c>
      <c r="E20" s="140">
        <f>'CP Analysis - From Load Researc'!B11</f>
        <v>21568.80140757118</v>
      </c>
      <c r="F20" s="141">
        <f t="shared" si="1"/>
        <v>0.93049396294557007</v>
      </c>
      <c r="H20" s="140">
        <f>'CP Analysis - From Load Researc'!C11</f>
        <v>29049.576850102079</v>
      </c>
      <c r="I20" s="141">
        <f t="shared" si="2"/>
        <v>0.69087545065725708</v>
      </c>
      <c r="J20" s="142"/>
      <c r="K20" s="140">
        <f>'CP Analysis - From Load Researc'!D11</f>
        <v>35746.34248005828</v>
      </c>
      <c r="L20" s="141">
        <f t="shared" si="3"/>
        <v>0.56144595797215047</v>
      </c>
      <c r="M20" s="142"/>
      <c r="N20" s="140">
        <f>'CP Analysis - From Load Researc'!E11</f>
        <v>33960</v>
      </c>
      <c r="O20" s="141">
        <f t="shared" si="0"/>
        <v>0.59097878379613944</v>
      </c>
    </row>
    <row r="21" spans="1:15" ht="14.1" customHeight="1" x14ac:dyDescent="0.25">
      <c r="A21" s="138" t="s">
        <v>24</v>
      </c>
      <c r="B21" s="139">
        <v>80</v>
      </c>
      <c r="C21" s="126">
        <f>(MFR_E_10_Attachment_2__FPL201!B18)*1000</f>
        <v>91241144</v>
      </c>
      <c r="E21" s="140">
        <f>'CP Analysis - From Load Researc'!B13</f>
        <v>20894.512243814999</v>
      </c>
      <c r="F21" s="141">
        <f t="shared" si="1"/>
        <v>0.49848762135357827</v>
      </c>
      <c r="H21" s="140">
        <f>'CP Analysis - From Load Researc'!C13</f>
        <v>23985.648697802604</v>
      </c>
      <c r="I21" s="141">
        <f t="shared" si="2"/>
        <v>0.43424532056607523</v>
      </c>
      <c r="J21" s="142"/>
      <c r="K21" s="140">
        <f>'CP Analysis - From Load Researc'!D13</f>
        <v>28570.30309049234</v>
      </c>
      <c r="L21" s="141">
        <f t="shared" si="3"/>
        <v>0.36456231054926019</v>
      </c>
      <c r="M21" s="142"/>
      <c r="N21" s="140">
        <f>'CP Analysis - From Load Researc'!E13</f>
        <v>12055.333333333334</v>
      </c>
      <c r="O21" s="141">
        <f t="shared" si="0"/>
        <v>0.86398736723131309</v>
      </c>
    </row>
    <row r="22" spans="1:15" ht="14.1" customHeight="1" x14ac:dyDescent="0.25">
      <c r="A22" s="138" t="s">
        <v>94</v>
      </c>
      <c r="B22" s="139" t="s">
        <v>95</v>
      </c>
      <c r="C22" s="126">
        <f>(MFR_E_10_Attachment_2__FPL201!B19+MFR_E_10_Attachment_2__FPL201!B22)*1000</f>
        <v>668557054</v>
      </c>
      <c r="E22" s="140">
        <f>'CP Analysis - From Load Researc'!B14</f>
        <v>24490.593518038182</v>
      </c>
      <c r="F22" s="141">
        <f t="shared" si="1"/>
        <v>3.1162698586955289</v>
      </c>
      <c r="H22" s="140">
        <f>'CP Analysis - From Load Researc'!C14</f>
        <v>153682.37976917459</v>
      </c>
      <c r="I22" s="141">
        <f t="shared" si="2"/>
        <v>0.49660409030921648</v>
      </c>
      <c r="J22" s="142"/>
      <c r="K22" s="140">
        <f>'CP Analysis - From Load Researc'!D14</f>
        <v>153682.37976917459</v>
      </c>
      <c r="L22" s="141">
        <f t="shared" si="3"/>
        <v>0.49660409030921648</v>
      </c>
      <c r="M22" s="142"/>
      <c r="N22" s="140">
        <f>'CP Analysis - From Load Researc'!E14</f>
        <v>158371</v>
      </c>
      <c r="O22" s="141">
        <f t="shared" si="0"/>
        <v>0.48190197954061337</v>
      </c>
    </row>
    <row r="23" spans="1:15" ht="14.1" customHeight="1" x14ac:dyDescent="0.25">
      <c r="A23" s="138" t="s">
        <v>25</v>
      </c>
      <c r="B23" s="139">
        <v>19</v>
      </c>
      <c r="C23" s="126">
        <f>(MFR_E_10_Attachment_2__FPL201!B20)*1000</f>
        <v>10819466</v>
      </c>
      <c r="E23" s="140">
        <f>'CP Analysis - From Load Researc'!B15</f>
        <v>815.91435103653828</v>
      </c>
      <c r="F23" s="141">
        <f t="shared" si="1"/>
        <v>1.5137604294843177</v>
      </c>
      <c r="H23" s="140">
        <f>'CP Analysis - From Load Researc'!C15</f>
        <v>8578.0262043470157</v>
      </c>
      <c r="I23" s="141">
        <f t="shared" si="2"/>
        <v>0.14398403887150493</v>
      </c>
      <c r="J23" s="142"/>
      <c r="K23" s="140">
        <f>'CP Analysis - From Load Researc'!D15</f>
        <v>12933.1126208973</v>
      </c>
      <c r="L23" s="141">
        <f t="shared" si="3"/>
        <v>9.5498964143544071E-2</v>
      </c>
      <c r="M23" s="142"/>
      <c r="N23" s="140">
        <f>'CP Analysis - From Load Researc'!E15</f>
        <v>15493.666666666666</v>
      </c>
      <c r="O23" s="141">
        <f t="shared" si="0"/>
        <v>7.9716369599244108E-2</v>
      </c>
    </row>
    <row r="24" spans="1:15" ht="14.1" customHeight="1" x14ac:dyDescent="0.25">
      <c r="A24" s="138" t="s">
        <v>26</v>
      </c>
      <c r="B24" s="139" t="s">
        <v>96</v>
      </c>
      <c r="C24" s="126">
        <f>(MFR_E_10_Attachment_2__FPL201!B21)*1000</f>
        <v>57507710080</v>
      </c>
      <c r="E24" s="140">
        <f>'CP Analysis - From Load Researc'!B16</f>
        <v>10443289.805182116</v>
      </c>
      <c r="F24" s="141">
        <f t="shared" si="1"/>
        <v>0.62861485309930165</v>
      </c>
      <c r="H24" s="140">
        <f>'CP Analysis - From Load Researc'!C16</f>
        <v>11023973.048745127</v>
      </c>
      <c r="I24" s="141">
        <f t="shared" si="2"/>
        <v>0.59550282441095692</v>
      </c>
      <c r="J24" s="142"/>
      <c r="K24" s="140">
        <f>'CP Analysis - From Load Researc'!D16</f>
        <v>27505799.319059569</v>
      </c>
      <c r="L24" s="141">
        <f t="shared" si="3"/>
        <v>0.23866992595299874</v>
      </c>
      <c r="M24" s="142"/>
      <c r="N24" s="140">
        <f>'CP Analysis - From Load Researc'!E16</f>
        <v>25695643.333333332</v>
      </c>
      <c r="O24" s="141">
        <f t="shared" si="0"/>
        <v>0.25548327401641202</v>
      </c>
    </row>
    <row r="25" spans="1:15" ht="14.1" customHeight="1" x14ac:dyDescent="0.25">
      <c r="A25" s="138" t="s">
        <v>97</v>
      </c>
      <c r="B25" s="139" t="s">
        <v>98</v>
      </c>
      <c r="C25" s="126">
        <f>(MFR_E_10_Attachment_2__FPL201!B12+MFR_E_10_Attachment_2__FPL201!B23)*1000</f>
        <v>104537486</v>
      </c>
      <c r="E25" s="140">
        <f>'CP Analysis - From Load Researc'!B7</f>
        <v>11781.307210236357</v>
      </c>
      <c r="F25" s="141">
        <f t="shared" si="1"/>
        <v>1.0129184100782922</v>
      </c>
      <c r="H25" s="140">
        <f>'CP Analysis - From Load Researc'!C7</f>
        <v>11920.809928564906</v>
      </c>
      <c r="I25" s="141">
        <f t="shared" si="2"/>
        <v>1.0010647799560337</v>
      </c>
      <c r="J25" s="142"/>
      <c r="K25" s="140">
        <f>'CP Analysis - From Load Researc'!D7</f>
        <v>12363.282645920508</v>
      </c>
      <c r="L25" s="141">
        <f t="shared" si="3"/>
        <v>0.96523741386550022</v>
      </c>
      <c r="M25" s="142"/>
      <c r="N25" s="140">
        <f>'CP Analysis - From Load Researc'!E7</f>
        <v>11003.666666666668</v>
      </c>
      <c r="O25" s="141">
        <f t="shared" si="0"/>
        <v>1.0845024053833445</v>
      </c>
    </row>
    <row r="26" spans="1:15" ht="14.1" customHeight="1" x14ac:dyDescent="0.25">
      <c r="A26" s="138" t="s">
        <v>99</v>
      </c>
      <c r="B26" s="139" t="s">
        <v>100</v>
      </c>
      <c r="C26" s="126">
        <f>(MFR_E_10_Attachment_2__FPL201!B24)*1000</f>
        <v>11856926</v>
      </c>
      <c r="E26" s="140">
        <f>'CP Analysis - From Load Researc'!B17</f>
        <v>1664.7526750432392</v>
      </c>
      <c r="F26" s="141">
        <f t="shared" si="1"/>
        <v>0.81305192392116021</v>
      </c>
      <c r="H26" s="140">
        <f>'CP Analysis - From Load Researc'!C17</f>
        <v>3701.3646121562419</v>
      </c>
      <c r="I26" s="141">
        <f t="shared" si="2"/>
        <v>0.36568414817914957</v>
      </c>
      <c r="J26" s="142"/>
      <c r="K26" s="140">
        <f>'CP Analysis - From Load Researc'!D17</f>
        <v>4550.257545735104</v>
      </c>
      <c r="L26" s="141">
        <f t="shared" si="3"/>
        <v>0.29746236376563995</v>
      </c>
      <c r="M26" s="142"/>
      <c r="N26" s="140">
        <f>'CP Analysis - From Load Researc'!E17</f>
        <v>5449</v>
      </c>
      <c r="O26" s="141">
        <f t="shared" si="0"/>
        <v>0.24839977340737818</v>
      </c>
    </row>
    <row r="27" spans="1:15" ht="14.1" customHeight="1" x14ac:dyDescent="0.25">
      <c r="A27" s="138" t="s">
        <v>101</v>
      </c>
      <c r="B27" s="139">
        <v>85</v>
      </c>
      <c r="C27" s="126">
        <f>(MFR_E_10_Attachment_2__FPL201!B25)*1000</f>
        <v>89667754</v>
      </c>
      <c r="E27" s="140">
        <f>'CP Analysis - From Load Researc'!B18</f>
        <v>6030.5041178798392</v>
      </c>
      <c r="F27" s="141">
        <f t="shared" si="1"/>
        <v>1.6973779931299779</v>
      </c>
      <c r="H27" s="140">
        <f>'CP Analysis - From Load Researc'!C18</f>
        <v>38099.974607377138</v>
      </c>
      <c r="I27" s="141">
        <f t="shared" si="2"/>
        <v>0.2686627768824546</v>
      </c>
      <c r="J27" s="142"/>
      <c r="K27" s="140">
        <f>'CP Analysis - From Load Researc'!D18</f>
        <v>90102.460205345778</v>
      </c>
      <c r="L27" s="141">
        <f t="shared" si="3"/>
        <v>0.11360450040809923</v>
      </c>
      <c r="M27" s="142"/>
      <c r="N27" s="140">
        <f>'CP Analysis - From Load Researc'!E18</f>
        <v>68233.333333333328</v>
      </c>
      <c r="O27" s="141">
        <f t="shared" si="0"/>
        <v>0.15001531476065877</v>
      </c>
    </row>
    <row r="29" spans="1:15" ht="13.8" thickBot="1" x14ac:dyDescent="0.3">
      <c r="A29" s="145" t="s">
        <v>102</v>
      </c>
      <c r="C29" s="146">
        <f>SUM(C14:C28)</f>
        <v>108127536433</v>
      </c>
      <c r="D29" s="147"/>
      <c r="E29" s="146">
        <f>SUM(E14:E28)</f>
        <v>17769744.786552496</v>
      </c>
      <c r="H29" s="146">
        <f>SUM(H14:H28)</f>
        <v>19421015.761773042</v>
      </c>
      <c r="K29" s="146">
        <f>SUM(K14:K28)</f>
        <v>38973222.966831699</v>
      </c>
      <c r="N29" s="146">
        <f>SUM(N14:N28)</f>
        <v>37323928</v>
      </c>
    </row>
    <row r="30" spans="1:15" ht="13.8" thickTop="1" x14ac:dyDescent="0.25"/>
    <row r="32" spans="1:15" x14ac:dyDescent="0.25">
      <c r="A32" s="128" t="s">
        <v>103</v>
      </c>
      <c r="K32" s="148"/>
    </row>
    <row r="33" spans="1:1" x14ac:dyDescent="0.25">
      <c r="A33" s="149" t="s">
        <v>104</v>
      </c>
    </row>
    <row r="34" spans="1:1" x14ac:dyDescent="0.25">
      <c r="A34" s="149" t="s">
        <v>105</v>
      </c>
    </row>
    <row r="35" spans="1:1" x14ac:dyDescent="0.25">
      <c r="A35" s="128" t="s">
        <v>106</v>
      </c>
    </row>
    <row r="36" spans="1:1" x14ac:dyDescent="0.25">
      <c r="A36" s="128" t="s">
        <v>107</v>
      </c>
    </row>
    <row r="37" spans="1:1" x14ac:dyDescent="0.25">
      <c r="A37" s="128" t="s">
        <v>108</v>
      </c>
    </row>
    <row r="38" spans="1:1" x14ac:dyDescent="0.25">
      <c r="A38" s="128" t="s">
        <v>109</v>
      </c>
    </row>
    <row r="39" spans="1:1" x14ac:dyDescent="0.25">
      <c r="A39" s="128" t="s">
        <v>110</v>
      </c>
    </row>
  </sheetData>
  <printOptions horizontalCentered="1"/>
  <pageMargins left="0.25" right="0.25" top="1" bottom="1" header="0.5" footer="0.5"/>
  <pageSetup scale="72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zoomScale="120" zoomScaleNormal="120" workbookViewId="0">
      <selection activeCell="A2" sqref="A2"/>
    </sheetView>
  </sheetViews>
  <sheetFormatPr defaultColWidth="9.109375" defaultRowHeight="14.4" x14ac:dyDescent="0.3"/>
  <cols>
    <col min="1" max="1" width="17.5546875" style="93" customWidth="1"/>
    <col min="2" max="2" width="18.44140625" style="93" customWidth="1"/>
    <col min="3" max="3" width="13.44140625" style="93" bestFit="1" customWidth="1"/>
    <col min="4" max="5" width="11.88671875" style="93" customWidth="1"/>
    <col min="6" max="16384" width="9.109375" style="93"/>
  </cols>
  <sheetData>
    <row r="1" spans="1:5" s="186" customFormat="1" x14ac:dyDescent="0.3">
      <c r="A1" s="196" t="s">
        <v>145</v>
      </c>
    </row>
    <row r="2" spans="1:5" s="186" customFormat="1" x14ac:dyDescent="0.3">
      <c r="A2" s="196" t="s">
        <v>141</v>
      </c>
    </row>
    <row r="3" spans="1:5" s="186" customFormat="1" ht="15" thickBot="1" x14ac:dyDescent="0.35"/>
    <row r="4" spans="1:5" ht="27.6" thickBot="1" x14ac:dyDescent="0.35">
      <c r="A4" s="110" t="s">
        <v>57</v>
      </c>
      <c r="B4" s="118" t="s">
        <v>61</v>
      </c>
      <c r="C4" s="118" t="s">
        <v>62</v>
      </c>
      <c r="D4" s="118" t="s">
        <v>59</v>
      </c>
      <c r="E4" s="119" t="s">
        <v>63</v>
      </c>
    </row>
    <row r="5" spans="1:5" x14ac:dyDescent="0.3">
      <c r="A5" s="117" t="s">
        <v>136</v>
      </c>
      <c r="B5" s="121">
        <v>347945.94366858318</v>
      </c>
      <c r="C5" s="121">
        <v>373208.36623581196</v>
      </c>
      <c r="D5" s="121">
        <v>449258.08948981512</v>
      </c>
      <c r="E5" s="185">
        <v>492879.66666666669</v>
      </c>
    </row>
    <row r="6" spans="1:5" x14ac:dyDescent="0.3">
      <c r="A6" s="120" t="s">
        <v>18</v>
      </c>
      <c r="B6" s="121">
        <v>179197.42167694357</v>
      </c>
      <c r="C6" s="121">
        <v>202081.46223975054</v>
      </c>
      <c r="D6" s="121">
        <v>233674.6335320143</v>
      </c>
      <c r="E6" s="185">
        <v>210531.33333333334</v>
      </c>
    </row>
    <row r="7" spans="1:5" x14ac:dyDescent="0.3">
      <c r="A7" s="122" t="s">
        <v>55</v>
      </c>
      <c r="B7" s="121">
        <v>11781.307210236357</v>
      </c>
      <c r="C7" s="121">
        <v>11920.809928564906</v>
      </c>
      <c r="D7" s="121">
        <v>12363.282645920508</v>
      </c>
      <c r="E7" s="185">
        <v>11003.666666666668</v>
      </c>
    </row>
    <row r="8" spans="1:5" x14ac:dyDescent="0.3">
      <c r="A8" s="122" t="s">
        <v>19</v>
      </c>
      <c r="B8" s="121">
        <v>3854029.7945355414</v>
      </c>
      <c r="C8" s="121">
        <v>4275142.505962925</v>
      </c>
      <c r="D8" s="121">
        <v>5881181.6062718211</v>
      </c>
      <c r="E8" s="185">
        <v>5928182.333333333</v>
      </c>
    </row>
    <row r="9" spans="1:5" x14ac:dyDescent="0.3">
      <c r="A9" s="120" t="s">
        <v>20</v>
      </c>
      <c r="B9" s="121">
        <v>1556942.6185767679</v>
      </c>
      <c r="C9" s="121">
        <v>1786777.6768445729</v>
      </c>
      <c r="D9" s="121">
        <v>2114794.4008058771</v>
      </c>
      <c r="E9" s="185">
        <v>2217209.6666666665</v>
      </c>
    </row>
    <row r="10" spans="1:5" x14ac:dyDescent="0.3">
      <c r="A10" s="122" t="s">
        <v>21</v>
      </c>
      <c r="B10" s="121">
        <v>312391.3799935063</v>
      </c>
      <c r="C10" s="121">
        <v>351855.15189245</v>
      </c>
      <c r="D10" s="121">
        <v>437167.85136880982</v>
      </c>
      <c r="E10" s="185">
        <v>405971</v>
      </c>
    </row>
    <row r="11" spans="1:5" x14ac:dyDescent="0.3">
      <c r="A11" s="120" t="s">
        <v>22</v>
      </c>
      <c r="B11" s="121">
        <v>21568.80140757118</v>
      </c>
      <c r="C11" s="121">
        <v>29049.576850102079</v>
      </c>
      <c r="D11" s="121">
        <v>35746.34248005828</v>
      </c>
      <c r="E11" s="185">
        <v>33960</v>
      </c>
    </row>
    <row r="12" spans="1:5" x14ac:dyDescent="0.3">
      <c r="A12" s="120" t="s">
        <v>23</v>
      </c>
      <c r="B12" s="121">
        <v>988701.4373954176</v>
      </c>
      <c r="C12" s="121">
        <v>1138959.7691828783</v>
      </c>
      <c r="D12" s="121">
        <v>2013398.9279461752</v>
      </c>
      <c r="E12" s="185">
        <v>2068944.6666666667</v>
      </c>
    </row>
    <row r="13" spans="1:5" x14ac:dyDescent="0.3">
      <c r="A13" s="122" t="s">
        <v>58</v>
      </c>
      <c r="B13" s="121">
        <v>20894.512243814999</v>
      </c>
      <c r="C13" s="121">
        <v>23985.648697802604</v>
      </c>
      <c r="D13" s="121">
        <v>28570.30309049234</v>
      </c>
      <c r="E13" s="185">
        <v>12055.333333333334</v>
      </c>
    </row>
    <row r="14" spans="1:5" x14ac:dyDescent="0.3">
      <c r="A14" s="122" t="s">
        <v>56</v>
      </c>
      <c r="B14" s="121">
        <v>24490.593518038182</v>
      </c>
      <c r="C14" s="121">
        <v>153682.37976917459</v>
      </c>
      <c r="D14" s="121">
        <v>153682.37976917459</v>
      </c>
      <c r="E14" s="185">
        <v>158371</v>
      </c>
    </row>
    <row r="15" spans="1:5" x14ac:dyDescent="0.3">
      <c r="A15" s="122" t="s">
        <v>25</v>
      </c>
      <c r="B15" s="121">
        <v>815.91435103653828</v>
      </c>
      <c r="C15" s="121">
        <v>8578.0262043470157</v>
      </c>
      <c r="D15" s="121">
        <v>12933.1126208973</v>
      </c>
      <c r="E15" s="185">
        <v>15493.666666666666</v>
      </c>
    </row>
    <row r="16" spans="1:5" x14ac:dyDescent="0.3">
      <c r="A16" s="120" t="s">
        <v>26</v>
      </c>
      <c r="B16" s="121">
        <v>10443289.805182116</v>
      </c>
      <c r="C16" s="121">
        <v>11023973.048745127</v>
      </c>
      <c r="D16" s="121">
        <v>27505799.319059569</v>
      </c>
      <c r="E16" s="185">
        <v>25695643.333333332</v>
      </c>
    </row>
    <row r="17" spans="1:5" x14ac:dyDescent="0.3">
      <c r="A17" s="123" t="s">
        <v>64</v>
      </c>
      <c r="B17" s="121">
        <v>1664.7526750432392</v>
      </c>
      <c r="C17" s="121">
        <v>3701.3646121562419</v>
      </c>
      <c r="D17" s="121">
        <v>4550.257545735104</v>
      </c>
      <c r="E17" s="185">
        <v>5449</v>
      </c>
    </row>
    <row r="18" spans="1:5" x14ac:dyDescent="0.3">
      <c r="A18" s="123" t="s">
        <v>65</v>
      </c>
      <c r="B18" s="121">
        <v>6030.5041178798392</v>
      </c>
      <c r="C18" s="121">
        <v>38099.974607377138</v>
      </c>
      <c r="D18" s="121">
        <v>90102.460205345778</v>
      </c>
      <c r="E18" s="185">
        <v>68233.333333333328</v>
      </c>
    </row>
    <row r="19" spans="1:5" x14ac:dyDescent="0.3">
      <c r="A19" s="117"/>
      <c r="B19" s="117"/>
      <c r="C19" s="117"/>
      <c r="D19" s="117"/>
      <c r="E19" s="117"/>
    </row>
    <row r="20" spans="1:5" x14ac:dyDescent="0.3">
      <c r="A20" s="117"/>
      <c r="B20" s="121">
        <f>SUM(B5:B18)</f>
        <v>17769744.786552496</v>
      </c>
      <c r="C20" s="121">
        <f>SUM(C5:C18)</f>
        <v>19421015.761773039</v>
      </c>
      <c r="D20" s="121">
        <f>SUM(D5:D18)</f>
        <v>38973222.966831699</v>
      </c>
      <c r="E20" s="121">
        <f>SUM(E5:E18)</f>
        <v>37323928</v>
      </c>
    </row>
    <row r="21" spans="1:5" x14ac:dyDescent="0.3">
      <c r="A21" s="123"/>
      <c r="B21" s="121"/>
      <c r="C21" s="121"/>
      <c r="D21" s="121"/>
      <c r="E21" s="121"/>
    </row>
    <row r="23" spans="1:5" x14ac:dyDescent="0.3">
      <c r="B23" s="121"/>
      <c r="C23" s="121"/>
      <c r="D23" s="121"/>
      <c r="E23" s="121"/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x0020_Status xmlns="c85253b9-0a55-49a1-98ad-b5b6252d7079">Draft</Document_x0020_Status>
    <Comments xmlns="c85253b9-0a55-49a1-98ad-b5b6252d7079" xsi:nil="true"/>
    <Document_x0020_Type xmlns="c85253b9-0a55-49a1-98ad-b5b6252d7079">Question</Document_x0020_Type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4A81384F0AC4446BCFA4541262B40A3" ma:contentTypeVersion="" ma:contentTypeDescription="Create a new document." ma:contentTypeScope="" ma:versionID="7858f3f591b3ecf1ab3064870dd50f80">
  <xsd:schema xmlns:xsd="http://www.w3.org/2001/XMLSchema" xmlns:xs="http://www.w3.org/2001/XMLSchema" xmlns:p="http://schemas.microsoft.com/office/2006/metadata/properties" xmlns:ns2="c85253b9-0a55-49a1-98ad-b5b6252d7079" targetNamespace="http://schemas.microsoft.com/office/2006/metadata/properties" ma:root="true" ma:fieldsID="ce7e9296015639994c0241091a34abd8" ns2:_="">
    <xsd:import namespace="c85253b9-0a55-49a1-98ad-b5b6252d7079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2:Document_x0020_Status" minOccurs="0"/>
                <xsd:element ref="ns2:Document_x0020_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5253b9-0a55-49a1-98ad-b5b6252d7079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  <xsd:element name="Document_x0020_Status" ma:index="9" nillable="true" ma:displayName="Document Status" ma:default="Draft" ma:format="Dropdown" ma:internalName="Document_x0020_Status">
      <xsd:simpleType>
        <xsd:restriction base="dms:Choice">
          <xsd:enumeration value="Draft"/>
          <xsd:enumeration value="Final"/>
        </xsd:restriction>
      </xsd:simpleType>
    </xsd:element>
    <xsd:element name="Document_x0020_Type" ma:index="10" nillable="true" ma:displayName="Document Type" ma:default="Question" ma:format="Dropdown" ma:internalName="Document_x0020_Type">
      <xsd:simpleType>
        <xsd:restriction base="dms:Choice">
          <xsd:enumeration value="Answer"/>
          <xsd:enumeration value="Question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5A009A5-D019-459E-83F7-3F90535A3FEC}">
  <ds:schemaRefs>
    <ds:schemaRef ds:uri="http://schemas.microsoft.com/office/2006/metadata/properties"/>
    <ds:schemaRef ds:uri="http://schemas.microsoft.com/office/infopath/2007/PartnerControls"/>
    <ds:schemaRef ds:uri="c85253b9-0a55-49a1-98ad-b5b6252d7079"/>
  </ds:schemaRefs>
</ds:datastoreItem>
</file>

<file path=customXml/itemProps2.xml><?xml version="1.0" encoding="utf-8"?>
<ds:datastoreItem xmlns:ds="http://schemas.openxmlformats.org/officeDocument/2006/customXml" ds:itemID="{91B8EF92-7E04-42DE-8C28-D527DF90E84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5253b9-0a55-49a1-98ad-b5b6252d70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6F922C4-DF2E-4A12-8F2E-36E22D83A52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MFR_E_10_Attachment_2__FPL201</vt:lpstr>
      <vt:lpstr>MFR_E_10_Attachment_2__FPL102</vt:lpstr>
      <vt:lpstr>Clause Allocations</vt:lpstr>
      <vt:lpstr>LF Analysis</vt:lpstr>
      <vt:lpstr>CP Analysis - From Load Researc</vt:lpstr>
      <vt:lpstr>Sheet1</vt:lpstr>
      <vt:lpstr>MFR_E_10_Attachment_2__FPL102!Print_Titles</vt:lpstr>
      <vt:lpstr>MFR_E_10_Attachment_2__FPL201!Print_Titles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FPL_User</cp:lastModifiedBy>
  <dcterms:created xsi:type="dcterms:W3CDTF">2015-09-09T14:38:04Z</dcterms:created>
  <dcterms:modified xsi:type="dcterms:W3CDTF">2016-04-18T11:40:19Z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0x01010074A81384F0AC4446BCFA4541262B40A3</vt:lpwstr>
  </property>
</Properties>
</file>