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60" windowWidth="25440" windowHeight="12150" tabRatio="864"/>
  </bookViews>
  <sheets>
    <sheet name="Exh. LK-6" sheetId="22" r:id="rId1"/>
    <sheet name="Exh. LK-8" sheetId="43" r:id="rId2"/>
    <sheet name="Exh. LK-11 (Pages 1-3)" sheetId="4" r:id="rId3"/>
    <sheet name="Exh. LK-11 (Pages 4-6)" sheetId="41" r:id="rId4"/>
    <sheet name="Exh. LK-12" sheetId="46" r:id="rId5"/>
    <sheet name="Exh. LK-14" sheetId="48" r:id="rId6"/>
    <sheet name="Exh. LK-15" sheetId="42" r:id="rId7"/>
    <sheet name="Exh. LK-16" sheetId="49" r:id="rId8"/>
    <sheet name="Exh. LK-17" sheetId="44" r:id="rId9"/>
    <sheet name="Exh. LK-21" sheetId="45" r:id="rId10"/>
    <sheet name="Exh. LK-23" sheetId="23" r:id="rId11"/>
    <sheet name="Exh. LK-27 - Page 1" sheetId="2" r:id="rId12"/>
    <sheet name="Exh. LK-27 - Page 2" sheetId="35" r:id="rId13"/>
    <sheet name="Exh. LK-28" sheetId="1" r:id="rId14"/>
    <sheet name="Exh. LK-29" sheetId="36" r:id="rId15"/>
    <sheet name="Exh. LK-30" sheetId="16" r:id="rId16"/>
    <sheet name="Exh. LK-33" sheetId="50" r:id="rId17"/>
    <sheet name="Exh. LK-34" sheetId="51" r:id="rId18"/>
    <sheet name="Exh. LK-35" sheetId="17" r:id="rId19"/>
    <sheet name="Revenue Requirement-12.31.2017" sheetId="3" r:id="rId20"/>
    <sheet name="Revenue Requirement-12.31.2018" sheetId="34" r:id="rId21"/>
    <sheet name="Rev Req-Okeechobee Increase" sheetId="18" r:id="rId22"/>
    <sheet name="As Filed MFR Sch. D-4 (2017)" sheetId="38" r:id="rId23"/>
    <sheet name="As Adjusted MFR Sch. D-4 (2017)" sheetId="39" r:id="rId24"/>
    <sheet name="As Filed MFR Sch. D-4 (2018)" sheetId="37" r:id="rId25"/>
    <sheet name="As Adjusted MFR Sch. D-4 (2018)" sheetId="40" r:id="rId26"/>
    <sheet name="ADIT Changes - Cap Struct" sheetId="24" r:id="rId27"/>
    <sheet name="NFIP in Rate Base" sheetId="2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" localSheetId="17">[1]EGSplit!#REF!</definedName>
    <definedName name="\">[1]EGSplit!#REF!</definedName>
    <definedName name="\\" localSheetId="23" hidden="1">#REF!</definedName>
    <definedName name="\\" localSheetId="25" hidden="1">#REF!</definedName>
    <definedName name="\\" localSheetId="3" hidden="1">#REF!</definedName>
    <definedName name="\\" localSheetId="4" hidden="1">#REF!</definedName>
    <definedName name="\\" localSheetId="5" hidden="1">#REF!</definedName>
    <definedName name="\\" localSheetId="7" hidden="1">#REF!</definedName>
    <definedName name="\\" localSheetId="8" hidden="1">#REF!</definedName>
    <definedName name="\\" localSheetId="9" hidden="1">#REF!</definedName>
    <definedName name="\\" localSheetId="16" hidden="1">#REF!</definedName>
    <definedName name="\\" localSheetId="17" hidden="1">#REF!</definedName>
    <definedName name="\\" localSheetId="1" hidden="1">#REF!</definedName>
    <definedName name="\\" hidden="1">#REF!</definedName>
    <definedName name="\\\" localSheetId="23" hidden="1">#REF!</definedName>
    <definedName name="\\\" localSheetId="25" hidden="1">#REF!</definedName>
    <definedName name="\\\" localSheetId="3" hidden="1">#REF!</definedName>
    <definedName name="\\\" localSheetId="4" hidden="1">#REF!</definedName>
    <definedName name="\\\" localSheetId="5" hidden="1">#REF!</definedName>
    <definedName name="\\\" localSheetId="7" hidden="1">#REF!</definedName>
    <definedName name="\\\" localSheetId="8" hidden="1">#REF!</definedName>
    <definedName name="\\\" localSheetId="9" hidden="1">#REF!</definedName>
    <definedName name="\\\" localSheetId="16" hidden="1">#REF!</definedName>
    <definedName name="\\\" localSheetId="17" hidden="1">#REF!</definedName>
    <definedName name="\\\" localSheetId="1" hidden="1">#REF!</definedName>
    <definedName name="\\\" hidden="1">#REF!</definedName>
    <definedName name="\\\\" localSheetId="26" hidden="1">#REF!</definedName>
    <definedName name="\\\\" localSheetId="23" hidden="1">#REF!</definedName>
    <definedName name="\\\\" localSheetId="25" hidden="1">#REF!</definedName>
    <definedName name="\\\\" localSheetId="3" hidden="1">#REF!</definedName>
    <definedName name="\\\\" localSheetId="4" hidden="1">#REF!</definedName>
    <definedName name="\\\\" localSheetId="5" hidden="1">#REF!</definedName>
    <definedName name="\\\\" localSheetId="7" hidden="1">#REF!</definedName>
    <definedName name="\\\\" localSheetId="8" hidden="1">#REF!</definedName>
    <definedName name="\\\\" localSheetId="9" hidden="1">#REF!</definedName>
    <definedName name="\\\\" localSheetId="10" hidden="1">#REF!</definedName>
    <definedName name="\\\\" localSheetId="12" hidden="1">#REF!</definedName>
    <definedName name="\\\\" localSheetId="14" hidden="1">#REF!</definedName>
    <definedName name="\\\\" localSheetId="16" hidden="1">#REF!</definedName>
    <definedName name="\\\\" localSheetId="17" hidden="1">#REF!</definedName>
    <definedName name="\\\\" localSheetId="0" hidden="1">#REF!</definedName>
    <definedName name="\\\\" localSheetId="1" hidden="1">#REF!</definedName>
    <definedName name="\\\\" localSheetId="27" hidden="1">#REF!</definedName>
    <definedName name="\\\\" localSheetId="20" hidden="1">#REF!</definedName>
    <definedName name="\\\\" hidden="1">#REF!</definedName>
    <definedName name="\0" localSheetId="17">#REF!</definedName>
    <definedName name="\0">#REF!</definedName>
    <definedName name="\A" localSheetId="17">#REF!</definedName>
    <definedName name="\A">#REF!</definedName>
    <definedName name="\C" localSheetId="17">#REF!</definedName>
    <definedName name="\C">#REF!</definedName>
    <definedName name="\D" localSheetId="17">#REF!</definedName>
    <definedName name="\D">#REF!</definedName>
    <definedName name="\E" localSheetId="17">#REF!</definedName>
    <definedName name="\E">#REF!</definedName>
    <definedName name="\M" localSheetId="17">#REF!</definedName>
    <definedName name="\M">#REF!</definedName>
    <definedName name="\P" localSheetId="17">[2]dbase!#REF!</definedName>
    <definedName name="\P">[2]dbase!#REF!</definedName>
    <definedName name="\R" localSheetId="17">#REF!</definedName>
    <definedName name="\R">#REF!</definedName>
    <definedName name="\S" localSheetId="17">[2]dbase!#REF!</definedName>
    <definedName name="\S">[2]dbase!#REF!</definedName>
    <definedName name="\T" localSheetId="17">#REF!</definedName>
    <definedName name="\T">#REF!</definedName>
    <definedName name="\Y" localSheetId="17">[3]d20!#REF!</definedName>
    <definedName name="\Y">[3]d20!#REF!</definedName>
    <definedName name="__123Graph_A" localSheetId="23" hidden="1">#REF!</definedName>
    <definedName name="__123Graph_A" localSheetId="25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6" hidden="1">#REF!</definedName>
    <definedName name="__123Graph_A" localSheetId="17" hidden="1">#REF!</definedName>
    <definedName name="__123Graph_A" localSheetId="1" hidden="1">#REF!</definedName>
    <definedName name="__123Graph_A" hidden="1">#REF!</definedName>
    <definedName name="__123Graph_B" localSheetId="23" hidden="1">#REF!</definedName>
    <definedName name="__123Graph_B" localSheetId="25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6" hidden="1">#REF!</definedName>
    <definedName name="__123Graph_B" localSheetId="17" hidden="1">#REF!</definedName>
    <definedName name="__123Graph_B" localSheetId="1" hidden="1">#REF!</definedName>
    <definedName name="__123Graph_B" hidden="1">#REF!</definedName>
    <definedName name="__123Graph_C" localSheetId="26" hidden="1">#REF!</definedName>
    <definedName name="__123Graph_C" localSheetId="23" hidden="1">#REF!</definedName>
    <definedName name="__123Graph_C" localSheetId="25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2" hidden="1">#REF!</definedName>
    <definedName name="__123Graph_C" localSheetId="14" hidden="1">#REF!</definedName>
    <definedName name="__123Graph_C" localSheetId="16" hidden="1">#REF!</definedName>
    <definedName name="__123Graph_C" localSheetId="17" hidden="1">#REF!</definedName>
    <definedName name="__123Graph_C" localSheetId="0" hidden="1">#REF!</definedName>
    <definedName name="__123Graph_C" localSheetId="1" hidden="1">#REF!</definedName>
    <definedName name="__123Graph_C" localSheetId="27" hidden="1">#REF!</definedName>
    <definedName name="__123Graph_C" localSheetId="20" hidden="1">#REF!</definedName>
    <definedName name="__123Graph_C" hidden="1">#REF!</definedName>
    <definedName name="__123Graph_D" localSheetId="23" hidden="1">#REF!</definedName>
    <definedName name="__123Graph_D" localSheetId="25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6" hidden="1">#REF!</definedName>
    <definedName name="__123Graph_D" localSheetId="17" hidden="1">#REF!</definedName>
    <definedName name="__123Graph_D" localSheetId="1" hidden="1">#REF!</definedName>
    <definedName name="__123Graph_D" hidden="1">#REF!</definedName>
    <definedName name="__123Graph_E" localSheetId="26" hidden="1">#REF!</definedName>
    <definedName name="__123Graph_E" localSheetId="23" hidden="1">#REF!</definedName>
    <definedName name="__123Graph_E" localSheetId="25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2" hidden="1">#REF!</definedName>
    <definedName name="__123Graph_E" localSheetId="14" hidden="1">#REF!</definedName>
    <definedName name="__123Graph_E" localSheetId="16" hidden="1">#REF!</definedName>
    <definedName name="__123Graph_E" localSheetId="17" hidden="1">#REF!</definedName>
    <definedName name="__123Graph_E" localSheetId="0" hidden="1">#REF!</definedName>
    <definedName name="__123Graph_E" localSheetId="1" hidden="1">#REF!</definedName>
    <definedName name="__123Graph_E" localSheetId="27" hidden="1">#REF!</definedName>
    <definedName name="__123Graph_E" localSheetId="20" hidden="1">#REF!</definedName>
    <definedName name="__123Graph_E" hidden="1">#REF!</definedName>
    <definedName name="__123Graph_F" localSheetId="23" hidden="1">#REF!</definedName>
    <definedName name="__123Graph_F" localSheetId="25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6" hidden="1">#REF!</definedName>
    <definedName name="__123Graph_F" localSheetId="17" hidden="1">#REF!</definedName>
    <definedName name="__123Graph_F" localSheetId="1" hidden="1">#REF!</definedName>
    <definedName name="__123Graph_F" hidden="1">#REF!</definedName>
    <definedName name="__123Graph_X" localSheetId="23" hidden="1">#REF!</definedName>
    <definedName name="__123Graph_X" localSheetId="25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7" hidden="1">#REF!</definedName>
    <definedName name="__123Graph_X" localSheetId="8" hidden="1">#REF!</definedName>
    <definedName name="__123Graph_X" localSheetId="9" hidden="1">#REF!</definedName>
    <definedName name="__123Graph_X" localSheetId="16" hidden="1">#REF!</definedName>
    <definedName name="__123Graph_X" localSheetId="17" hidden="1">#REF!</definedName>
    <definedName name="__123Graph_X" localSheetId="1" hidden="1">#REF!</definedName>
    <definedName name="__123Graph_X" hidden="1">#REF!</definedName>
    <definedName name="_Dist_Bin" localSheetId="23" hidden="1">#REF!</definedName>
    <definedName name="_Dist_Bin" localSheetId="25" hidden="1">#REF!</definedName>
    <definedName name="_Dist_Bin" localSheetId="3" hidden="1">#REF!</definedName>
    <definedName name="_Dist_Bin" localSheetId="4" hidden="1">#REF!</definedName>
    <definedName name="_Dist_Bin" localSheetId="5" hidden="1">#REF!</definedName>
    <definedName name="_Dist_Bin" localSheetId="7" hidden="1">#REF!</definedName>
    <definedName name="_Dist_Bin" localSheetId="8" hidden="1">#REF!</definedName>
    <definedName name="_Dist_Bin" localSheetId="9" hidden="1">#REF!</definedName>
    <definedName name="_Dist_Bin" localSheetId="16" hidden="1">#REF!</definedName>
    <definedName name="_Dist_Bin" localSheetId="17" hidden="1">#REF!</definedName>
    <definedName name="_Dist_Bin" localSheetId="1" hidden="1">#REF!</definedName>
    <definedName name="_Dist_Bin" hidden="1">#REF!</definedName>
    <definedName name="_Dist_Values" localSheetId="23" hidden="1">#REF!</definedName>
    <definedName name="_Dist_Values" localSheetId="25" hidden="1">#REF!</definedName>
    <definedName name="_Dist_Values" localSheetId="3" hidden="1">#REF!</definedName>
    <definedName name="_Dist_Values" localSheetId="4" hidden="1">#REF!</definedName>
    <definedName name="_Dist_Values" localSheetId="5" hidden="1">#REF!</definedName>
    <definedName name="_Dist_Values" localSheetId="7" hidden="1">#REF!</definedName>
    <definedName name="_Dist_Values" localSheetId="8" hidden="1">#REF!</definedName>
    <definedName name="_Dist_Values" localSheetId="9" hidden="1">#REF!</definedName>
    <definedName name="_Dist_Values" localSheetId="16" hidden="1">#REF!</definedName>
    <definedName name="_Dist_Values" localSheetId="17" hidden="1">#REF!</definedName>
    <definedName name="_Dist_Values" localSheetId="1" hidden="1">#REF!</definedName>
    <definedName name="_Dist_Values" hidden="1">#REF!</definedName>
    <definedName name="_Fill" localSheetId="23" hidden="1">#REF!</definedName>
    <definedName name="_Fill" localSheetId="25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6" hidden="1">#REF!</definedName>
    <definedName name="_Fill" localSheetId="17" hidden="1">#REF!</definedName>
    <definedName name="_Fill" localSheetId="1" hidden="1">#REF!</definedName>
    <definedName name="_Fill" hidden="1">#REF!</definedName>
    <definedName name="_Key1" localSheetId="23" hidden="1">#REF!</definedName>
    <definedName name="_Key1" localSheetId="25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6" hidden="1">#REF!</definedName>
    <definedName name="_Key1" localSheetId="17" hidden="1">#REF!</definedName>
    <definedName name="_Key1" localSheetId="1" hidden="1">#REF!</definedName>
    <definedName name="_Key1" hidden="1">#REF!</definedName>
    <definedName name="_may1" localSheetId="17">#REF!</definedName>
    <definedName name="_may1">#REF!</definedName>
    <definedName name="_Order1" localSheetId="16" hidden="1">0</definedName>
    <definedName name="_Order1" hidden="1">255</definedName>
    <definedName name="_Order2" localSheetId="16" hidden="1">0</definedName>
    <definedName name="_Order2" hidden="1">255</definedName>
    <definedName name="_P" localSheetId="17">#REF!</definedName>
    <definedName name="_P">#REF!</definedName>
    <definedName name="_PG1" localSheetId="17">#REF!</definedName>
    <definedName name="_PG1">#REF!</definedName>
    <definedName name="_PG2" localSheetId="17">#REF!</definedName>
    <definedName name="_PG2">#REF!</definedName>
    <definedName name="_Regression_X" localSheetId="26" hidden="1">#REF!</definedName>
    <definedName name="_Regression_X" localSheetId="23" hidden="1">#REF!</definedName>
    <definedName name="_Regression_X" localSheetId="25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2" hidden="1">#REF!</definedName>
    <definedName name="_Regression_X" localSheetId="14" hidden="1">#REF!</definedName>
    <definedName name="_Regression_X" localSheetId="15" hidden="1">#REF!</definedName>
    <definedName name="_Regression_X" localSheetId="16" hidden="1">#REF!</definedName>
    <definedName name="_Regression_X" localSheetId="17" hidden="1">#REF!</definedName>
    <definedName name="_Regression_X" localSheetId="18" hidden="1">#REF!</definedName>
    <definedName name="_Regression_X" localSheetId="0" hidden="1">#REF!</definedName>
    <definedName name="_Regression_X" localSheetId="1" hidden="1">#REF!</definedName>
    <definedName name="_Regression_X" localSheetId="27" hidden="1">#REF!</definedName>
    <definedName name="_Regression_X" localSheetId="21" hidden="1">#REF!</definedName>
    <definedName name="_Regression_X" localSheetId="20" hidden="1">#REF!</definedName>
    <definedName name="_Regression_X" hidden="1">#REF!</definedName>
    <definedName name="_Sort" localSheetId="23" hidden="1">#REF!</definedName>
    <definedName name="_Sort" localSheetId="25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6" hidden="1">#REF!</definedName>
    <definedName name="_Sort" localSheetId="17" hidden="1">#REF!</definedName>
    <definedName name="_Sort" localSheetId="1" hidden="1">#REF!</definedName>
    <definedName name="_Sort" hidden="1">#REF!</definedName>
    <definedName name="A" localSheetId="17">#REF!</definedName>
    <definedName name="A">#REF!</definedName>
    <definedName name="aaaa" hidden="1">{"Benefits Summary",#N/A,FALSE,"Benefits Info without WC Amount";"Medical and Dental Costs",#N/A,FALSE,"Benefits Info without WC Amount";"Workers' Compensation",#N/A,FALSE,"Benefits Info without WC Amount"}</definedName>
    <definedName name="ACTUAL">"'Vol_Revs'!R5C3:R5C14"</definedName>
    <definedName name="ADJSUTW3" localSheetId="17">#REF!</definedName>
    <definedName name="ADJSUTW3">#REF!</definedName>
    <definedName name="ADJUSRN" localSheetId="17">#REF!</definedName>
    <definedName name="ADJUSRN">#REF!</definedName>
    <definedName name="Adjust2" localSheetId="17">#REF!</definedName>
    <definedName name="Adjust2">#REF!</definedName>
    <definedName name="ADJUSTA" localSheetId="17">#REF!</definedName>
    <definedName name="ADJUSTA">#REF!</definedName>
    <definedName name="ADJUSTAA" localSheetId="17">#REF!</definedName>
    <definedName name="ADJUSTAA">#REF!</definedName>
    <definedName name="ADJUSTB" localSheetId="17">#REF!</definedName>
    <definedName name="ADJUSTB">#REF!</definedName>
    <definedName name="ADJUSTC" localSheetId="17">#REF!</definedName>
    <definedName name="ADJUSTC">#REF!</definedName>
    <definedName name="ADJUSTD1" localSheetId="17">#REF!</definedName>
    <definedName name="ADJUSTD1">#REF!</definedName>
    <definedName name="ADJUSTD2" localSheetId="17">#REF!</definedName>
    <definedName name="ADJUSTD2">#REF!</definedName>
    <definedName name="ADJUSTD3" localSheetId="17">#REF!</definedName>
    <definedName name="ADJUSTD3">#REF!</definedName>
    <definedName name="ADJUSTD4" localSheetId="17">#REF!</definedName>
    <definedName name="ADJUSTD4">#REF!</definedName>
    <definedName name="ADJUSTG1" localSheetId="17">#REF!</definedName>
    <definedName name="ADJUSTG1">#REF!</definedName>
    <definedName name="ADJUSTG2" localSheetId="17">#REF!</definedName>
    <definedName name="ADJUSTG2">#REF!</definedName>
    <definedName name="ADJUSTG3" localSheetId="17">#REF!</definedName>
    <definedName name="ADJUSTG3">#REF!</definedName>
    <definedName name="ADJUSTG4" localSheetId="17">#REF!</definedName>
    <definedName name="ADJUSTG4">#REF!</definedName>
    <definedName name="ADJUSTH" localSheetId="17">#REF!</definedName>
    <definedName name="ADJUSTH">#REF!</definedName>
    <definedName name="ADJUSTI" localSheetId="17">#REF!</definedName>
    <definedName name="ADJUSTI">#REF!</definedName>
    <definedName name="ADJUSTK" localSheetId="17">#REF!</definedName>
    <definedName name="ADJUSTK">#REF!</definedName>
    <definedName name="ADJUSTM" localSheetId="17">#REF!</definedName>
    <definedName name="ADJUSTM">#REF!</definedName>
    <definedName name="ADJUSTN" localSheetId="17">#REF!</definedName>
    <definedName name="ADJUSTN">#REF!</definedName>
    <definedName name="ADJUSTO" localSheetId="17">#REF!</definedName>
    <definedName name="ADJUSTO">#REF!</definedName>
    <definedName name="ADJUSTP" localSheetId="17">#REF!</definedName>
    <definedName name="ADJUSTP">#REF!</definedName>
    <definedName name="ADJUSTQ" localSheetId="17">#REF!</definedName>
    <definedName name="ADJUSTQ">#REF!</definedName>
    <definedName name="ADJUSTR" localSheetId="17">#REF!</definedName>
    <definedName name="ADJUSTR">#REF!</definedName>
    <definedName name="ADJUSTS" localSheetId="17">#REF!</definedName>
    <definedName name="ADJUSTS">#REF!</definedName>
    <definedName name="ADJUSTT" localSheetId="17">#REF!</definedName>
    <definedName name="ADJUSTT">#REF!</definedName>
    <definedName name="ADJUSTW1" localSheetId="17">#REF!</definedName>
    <definedName name="ADJUSTW1">#REF!</definedName>
    <definedName name="ADJUSTW2" localSheetId="17">#REF!</definedName>
    <definedName name="ADJUSTW2">#REF!</definedName>
    <definedName name="ADJUSTX" localSheetId="17">#REF!</definedName>
    <definedName name="ADJUSTX">#REF!</definedName>
    <definedName name="ADJUSTY" localSheetId="17">#REF!</definedName>
    <definedName name="ADJUSTY">#REF!</definedName>
    <definedName name="ALERT2" localSheetId="17">#REF!</definedName>
    <definedName name="ALERT2">#REF!</definedName>
    <definedName name="Annual_Sales_KU" localSheetId="17">'[4]LGE Sales'!#REF!</definedName>
    <definedName name="Annual_Sales_KU">'[4]LGE Sales'!#REF!</definedName>
    <definedName name="assets" localSheetId="17">#REF!</definedName>
    <definedName name="assets">#REF!</definedName>
    <definedName name="AUTO" localSheetId="17">#REF!</definedName>
    <definedName name="AUTO">#REF!</definedName>
    <definedName name="B" localSheetId="17">#REF!</definedName>
    <definedName name="B">#REF!</definedName>
    <definedName name="Billed_Revenues_Dollars" localSheetId="17">#REF!</definedName>
    <definedName name="Billed_Revenues_Dollars">#REF!</definedName>
    <definedName name="Billed_Sales__KWh" localSheetId="17">#REF!</definedName>
    <definedName name="Billed_Sales__KWh">#REF!</definedName>
    <definedName name="BudCol01">[5]BudgetDatabase!$J$5:$J$443</definedName>
    <definedName name="BudCol02">[5]BudgetDatabase!$K$5:$K$443</definedName>
    <definedName name="BudCol03">[5]BudgetDatabase!$L$5:$L$443</definedName>
    <definedName name="BudCol04">[5]BudgetDatabase!$M$5:$M$443</definedName>
    <definedName name="BudCol05">[5]BudgetDatabase!$N$5:$N$443</definedName>
    <definedName name="BudCol06">[5]BudgetDatabase!$O$5:$O$443</definedName>
    <definedName name="BudCol07">[5]BudgetDatabase!$P$5:$P$443</definedName>
    <definedName name="BudCol08">[5]BudgetDatabase!$Q$5:$Q$443</definedName>
    <definedName name="BudCol09">[5]BudgetDatabase!$R$5:$R$443</definedName>
    <definedName name="BudCol10">[5]BudgetDatabase!$S$5:$S$443</definedName>
    <definedName name="BudCol11">[5]BudgetDatabase!$T$5:$T$443</definedName>
    <definedName name="BudCol12">[5]BudgetDatabase!$U$5:$U$443</definedName>
    <definedName name="BudCol13">[5]BudgetDatabase!$V$5:$V$443</definedName>
    <definedName name="BudCol14">[5]BudgetDatabase!$W$5:$W$443</definedName>
    <definedName name="BudCol15">[5]BudgetDatabase!$X$5:$X$443</definedName>
    <definedName name="BudCol16">[5]BudgetDatabase!$Y$5:$Y$443</definedName>
    <definedName name="BudCol17">[5]BudgetDatabase!$Z$5:$Z$443</definedName>
    <definedName name="BudCol18">[5]BudgetDatabase!$AA$5:$AA$443</definedName>
    <definedName name="BudCol19">[5]BudgetDatabase!$AB$5:$AB$443</definedName>
    <definedName name="BudCol20">[5]BudgetDatabase!$AC$5:$AC$443</definedName>
    <definedName name="BudCol21">[5]BudgetDatabase!$AD$5:$AD$443</definedName>
    <definedName name="BudCol22">[5]BudgetDatabase!$AE$5:$AE$443</definedName>
    <definedName name="BudCol23">[5]BudgetDatabase!$AF$5:$AF$443</definedName>
    <definedName name="BudCol24">[5]BudgetDatabase!$AG$5:$AG$443</definedName>
    <definedName name="BudCol25">[5]BudgetDatabase!$AH$5:$AH$443</definedName>
    <definedName name="BudColTmp">[5]BudgetDatabase!$AJ$5:$AJ$443</definedName>
    <definedName name="C_" localSheetId="17">#REF!</definedName>
    <definedName name="C_">#REF!</definedName>
    <definedName name="Choices_Wrapper">[0]!Choices_Wrapper</definedName>
    <definedName name="CM" localSheetId="17">#REF!</definedName>
    <definedName name="CM">#REF!</definedName>
    <definedName name="Coal_Annual_KU" localSheetId="17">'[4]LGE Coal'!#REF!</definedName>
    <definedName name="Coal_Annual_KU">'[4]LGE Coal'!#REF!</definedName>
    <definedName name="coal_hide_ku_01" localSheetId="17">'[4]LGE Coal'!#REF!</definedName>
    <definedName name="coal_hide_ku_01">'[4]LGE Coal'!#REF!</definedName>
    <definedName name="coal_hide_lge_01" localSheetId="17">'[4]LGE Coal'!#REF!</definedName>
    <definedName name="coal_hide_lge_01">'[4]LGE Coal'!#REF!</definedName>
    <definedName name="coal_ku_01" localSheetId="17">'[4]LGE Coal'!#REF!</definedName>
    <definedName name="coal_ku_01">'[4]LGE Coal'!#REF!</definedName>
    <definedName name="ColumnAttributes1" localSheetId="17">#REF!</definedName>
    <definedName name="ColumnAttributes1">#REF!</definedName>
    <definedName name="ColumnHeadings1" localSheetId="17">#REF!</definedName>
    <definedName name="ColumnHeadings1">#REF!</definedName>
    <definedName name="Comp">[0]!Comp</definedName>
    <definedName name="ConsEarnings" localSheetId="17">#REF!</definedName>
    <definedName name="ConsEarnings">#REF!</definedName>
    <definedName name="CONSOLIDATED" localSheetId="17">#REF!</definedName>
    <definedName name="CONSOLIDATED">#REF!</definedName>
    <definedName name="CORPORATE" localSheetId="17">#REF!</definedName>
    <definedName name="CORPORATE">#REF!</definedName>
    <definedName name="counter" localSheetId="17">#REF!</definedName>
    <definedName name="counter">#REF!</definedName>
    <definedName name="CREDIT" localSheetId="17">#REF!</definedName>
    <definedName name="CREDIT">#REF!</definedName>
    <definedName name="CurReptgMo">[5]Input!$K$19</definedName>
    <definedName name="CurReptgYr">[5]Input!$K$21</definedName>
    <definedName name="D" localSheetId="17">#REF!</definedName>
    <definedName name="D">#REF!</definedName>
    <definedName name="data" localSheetId="17">#REF!</definedName>
    <definedName name="data">#REF!</definedName>
    <definedName name="data1" localSheetId="17">'[6]1'!#REF!</definedName>
    <definedName name="data1">'[6]1'!#REF!</definedName>
    <definedName name="DateTimeNow">[5]Input!$AE$12</definedName>
    <definedName name="DEBIT" localSheetId="17">#REF!</definedName>
    <definedName name="DEBIT">#REF!</definedName>
    <definedName name="Detail" localSheetId="17">#REF!</definedName>
    <definedName name="Detail">#REF!</definedName>
    <definedName name="ELEC_NET_OP_INC" localSheetId="17">#REF!</definedName>
    <definedName name="ELEC_NET_OP_INC">#REF!</definedName>
    <definedName name="ELIMS" localSheetId="17">#REF!</definedName>
    <definedName name="ELIMS">#REF!</definedName>
    <definedName name="EXHIB1A" localSheetId="17">'[7]#REF'!#REF!</definedName>
    <definedName name="EXHIB1A">'[7]#REF'!#REF!</definedName>
    <definedName name="EXHIB1B" localSheetId="17">#REF!</definedName>
    <definedName name="EXHIB1B">#REF!</definedName>
    <definedName name="EXHIB1C" localSheetId="17">#REF!</definedName>
    <definedName name="EXHIB1C">#REF!</definedName>
    <definedName name="EXHIB2B" localSheetId="17">'[8]Ex 2'!#REF!</definedName>
    <definedName name="EXHIB2B">'[8]Ex 2'!#REF!</definedName>
    <definedName name="EXHIB3" localSheetId="17">#REF!</definedName>
    <definedName name="EXHIB3">#REF!</definedName>
    <definedName name="EXHIB6" localSheetId="17">'[8]not used Ex 4'!#REF!</definedName>
    <definedName name="EXHIB6">'[8]not used Ex 4'!#REF!</definedName>
    <definedName name="F" localSheetId="17">#REF!</definedName>
    <definedName name="F">#REF!</definedName>
    <definedName name="Fac_2000" localSheetId="17">'[4]LGE Base Fuel &amp; FAC'!#REF!</definedName>
    <definedName name="Fac_2000">'[4]LGE Base Fuel &amp; FAC'!#REF!</definedName>
    <definedName name="fac_annual_ku" localSheetId="17">'[4]LGE Base Fuel &amp; FAC'!#REF!</definedName>
    <definedName name="fac_annual_ku">'[4]LGE Base Fuel &amp; FAC'!#REF!</definedName>
    <definedName name="fac_hide_ku_01" localSheetId="17">'[4]LGE Base Fuel &amp; FAC'!#REF!</definedName>
    <definedName name="fac_hide_ku_01">'[4]LGE Base Fuel &amp; FAC'!#REF!</definedName>
    <definedName name="fac_hide_lge_01" localSheetId="17">'[4]LGE Base Fuel &amp; FAC'!#REF!</definedName>
    <definedName name="fac_hide_lge_01">'[4]LGE Base Fuel &amp; FAC'!#REF!</definedName>
    <definedName name="fac_ku_01" localSheetId="17">'[4]LGE Base Fuel &amp; FAC'!#REF!</definedName>
    <definedName name="fac_ku_01">'[4]LGE Base Fuel &amp; FAC'!#REF!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ebruary" localSheetId="17">#REF!</definedName>
    <definedName name="February">#REF!</definedName>
    <definedName name="FOOTER" localSheetId="17">#REF!</definedName>
    <definedName name="FOOTER">#REF!</definedName>
    <definedName name="FORECAST">"'IFPSReport'!R5C3:R5C14"</definedName>
    <definedName name="fuelcost" localSheetId="17">#REF!</definedName>
    <definedName name="fuelcost">#REF!</definedName>
    <definedName name="Gas_Annual_NetRev" localSheetId="17">#REF!</definedName>
    <definedName name="Gas_Annual_NetRev">#REF!</definedName>
    <definedName name="Gas_Annual_Revenue" localSheetId="17">#REF!</definedName>
    <definedName name="Gas_Annual_Revenue">#REF!</definedName>
    <definedName name="gas_data" localSheetId="17">#REF!</definedName>
    <definedName name="gas_data">#REF!</definedName>
    <definedName name="Gas_Monthly_NetRevenue" localSheetId="17">#REF!</definedName>
    <definedName name="Gas_Monthly_NetRevenue">#REF!</definedName>
    <definedName name="GAS_NET_OP_INC" localSheetId="17">#REF!</definedName>
    <definedName name="GAS_NET_OP_INC">#REF!</definedName>
    <definedName name="Gas_Sales_Revenues" localSheetId="17">#REF!</definedName>
    <definedName name="Gas_Sales_Revenues">#REF!</definedName>
    <definedName name="GenEx_Annual_KU" localSheetId="17">'[4]LGE Cost of Sales'!#REF!</definedName>
    <definedName name="GenEx_Annual_KU">'[4]LGE Cost of Sales'!#REF!</definedName>
    <definedName name="genex_hide_ku_01" localSheetId="17">'[4]LGE Cost of Sales'!#REF!</definedName>
    <definedName name="genex_hide_ku_01">'[4]LGE Cost of Sales'!#REF!</definedName>
    <definedName name="genex_hide_lge_01" localSheetId="17">'[4]LGE Cost of Sales'!#REF!</definedName>
    <definedName name="genex_hide_lge_01">'[4]LGE Cost of Sales'!#REF!</definedName>
    <definedName name="genex_ku_01" localSheetId="17">'[4]LGE Cost of Sales'!#REF!</definedName>
    <definedName name="genex_ku_01">'[4]LGE Cost of Sales'!#REF!</definedName>
    <definedName name="H" localSheetId="17">#REF!</definedName>
    <definedName name="H">#REF!</definedName>
    <definedName name="Home_KU" localSheetId="17">#REF!</definedName>
    <definedName name="Home_KU">#REF!</definedName>
    <definedName name="INPUT1" localSheetId="17">#REF!</definedName>
    <definedName name="INPUT1">#REF!</definedName>
    <definedName name="INPUT2" localSheetId="17">#REF!</definedName>
    <definedName name="INPUT2">#REF!</definedName>
    <definedName name="INPUTCOL" localSheetId="17">#REF!</definedName>
    <definedName name="INPUTCOL">#REF!</definedName>
    <definedName name="INPUTROW" localSheetId="17">#REF!</definedName>
    <definedName name="INPUTROW">#REF!</definedName>
    <definedName name="InputSec01">[5]Input!$M$30</definedName>
    <definedName name="InputSec02">[5]Input!$M$40:$M$75</definedName>
    <definedName name="InputSec03">[5]Input!$K$87:$Q$89</definedName>
    <definedName name="InputSec04">[5]Input!$O$100:$Q$100</definedName>
    <definedName name="InputSec05A">[5]Input!$O$110:$Q$110</definedName>
    <definedName name="InputSec05B">[5]Input!$O$116:$Q$122</definedName>
    <definedName name="InputSec06">[5]Input!$M$133:$O$142</definedName>
    <definedName name="InputSec07">[5]Input!$O$151:$O$181</definedName>
    <definedName name="InputSec08A">[5]Input!$O$259:$O$283</definedName>
    <definedName name="InputSec08B">[5]Input!$G$296:$Q$296</definedName>
    <definedName name="InputSec08C">[5]Input!$I$306:$K$306</definedName>
    <definedName name="InputSec09A">[5]Input!$K$316:$Q$318</definedName>
    <definedName name="InputSec09B">[5]Input!$K$328:$M$330</definedName>
    <definedName name="InputSec10A">[5]Input!$K$345:$O$349</definedName>
    <definedName name="InputSec10B">[5]Input!$K$355:$O$355</definedName>
    <definedName name="InputSec10C">[5]Input!$K$362:$O$364</definedName>
    <definedName name="InputSec10D">[5]Input!$K$370:$O$370</definedName>
    <definedName name="InputSec11">[5]Input!$M$383:$O$391</definedName>
    <definedName name="InputSec12A">[5]Input!$M$406:$M$418</definedName>
    <definedName name="InputSec12B">[5]Input!$M$424</definedName>
    <definedName name="InputSec13">[5]Input!$M$433:$O$433</definedName>
    <definedName name="January" localSheetId="17">#REF!</definedName>
    <definedName name="January">#REF!</definedName>
    <definedName name="KUELIMBAL" localSheetId="17">#REF!</definedName>
    <definedName name="KUELIMBAL">#REF!</definedName>
    <definedName name="KUELIMCASH" localSheetId="17">#REF!</definedName>
    <definedName name="KUELIMCASH">#REF!</definedName>
    <definedName name="KUPWRGENIS" localSheetId="17">#REF!</definedName>
    <definedName name="KUPWRGENIS">#REF!</definedName>
    <definedName name="KWHCol01">[5]KWHDistDatabase!$I$5:$I$425</definedName>
    <definedName name="KWHCol02">[5]KWHDistDatabase!$J$5:$J$425</definedName>
    <definedName name="KWHCol03">[5]KWHDistDatabase!$K$5:$K$425</definedName>
    <definedName name="KWHCol04">[5]KWHDistDatabase!$L$5:$L$425</definedName>
    <definedName name="KWHCol05">[5]KWHDistDatabase!$M$5:$M$425</definedName>
    <definedName name="KWHCol06">[5]KWHDistDatabase!$N$5:$N$425</definedName>
    <definedName name="KWHCol07">[5]KWHDistDatabase!$O$5:$O$425</definedName>
    <definedName name="KWHCol08">[5]KWHDistDatabase!$P$5:$P$425</definedName>
    <definedName name="KWHCol09">[5]KWHDistDatabase!$Q$5:$Q$425</definedName>
    <definedName name="KWHCol10">[5]KWHDistDatabase!$R$5:$R$425</definedName>
    <definedName name="KWHCol11">[5]KWHDistDatabase!$S$5:$S$425</definedName>
    <definedName name="KWHCol12">[5]KWHDistDatabase!$T$5:$T$425</definedName>
    <definedName name="KWHCol13">[5]KWHDistDatabase!$U$5:$U$425</definedName>
    <definedName name="KWHCol14">[5]KWHDistDatabase!$V$5:$V$425</definedName>
    <definedName name="KWHCol15">[5]KWHDistDatabase!$W$5:$W$425</definedName>
    <definedName name="KWHCol16">[5]KWHDistDatabase!$X$5:$X$425</definedName>
    <definedName name="KWHCol17">[5]KWHDistDatabase!$Y$5:$Y$425</definedName>
    <definedName name="KWHCol18">[5]KWHDistDatabase!$Z$5:$Z$425</definedName>
    <definedName name="KWHCol19">[5]KWHDistDatabase!$AA$5:$AA$425</definedName>
    <definedName name="KWHCol20">[5]KWHDistDatabase!$AB$5:$AB$425</definedName>
    <definedName name="KWHCol21">[5]KWHDistDatabase!$AC$5:$AC$425</definedName>
    <definedName name="KWHCol22">[5]KWHDistDatabase!$AD$5:$AD$425</definedName>
    <definedName name="KWHCol23">[5]KWHDistDatabase!$AE$5:$AE$425</definedName>
    <definedName name="KWHCol24">[5]KWHDistDatabase!$AF$5:$AF$425</definedName>
    <definedName name="KWHCol25">[5]KWHDistDatabase!$AG$5:$AG$425</definedName>
    <definedName name="KWHColTmp">[5]KWHDistDatabase!$AI$5:$AI$425</definedName>
    <definedName name="LEC" localSheetId="17">#REF!</definedName>
    <definedName name="LEC">#REF!</definedName>
    <definedName name="LECBAL" localSheetId="17">#REF!</definedName>
    <definedName name="LECBAL">#REF!</definedName>
    <definedName name="LECCASH" localSheetId="17">#REF!</definedName>
    <definedName name="LECCASH">#REF!</definedName>
    <definedName name="LES" localSheetId="17">#REF!</definedName>
    <definedName name="LES">#REF!</definedName>
    <definedName name="LGE" localSheetId="17">#REF!</definedName>
    <definedName name="LGE">#REF!</definedName>
    <definedName name="LNGCL" localSheetId="17">#REF!</definedName>
    <definedName name="LNGCL">#REF!</definedName>
    <definedName name="Losses_by_State" localSheetId="17">#REF!</definedName>
    <definedName name="Losses_by_State">#REF!</definedName>
    <definedName name="LOUPHONECOBAL" localSheetId="17">#REF!</definedName>
    <definedName name="LOUPHONECOBAL">#REF!</definedName>
    <definedName name="LOUPHONECOCASH" localSheetId="17">#REF!</definedName>
    <definedName name="LOUPHONECOCASH">#REF!</definedName>
    <definedName name="LOUPHONECOIS" localSheetId="17">#REF!</definedName>
    <definedName name="LOUPHONECOIS">#REF!</definedName>
    <definedName name="LPI" localSheetId="17">#REF!</definedName>
    <definedName name="LPI">#REF!</definedName>
    <definedName name="MAIN" localSheetId="17">#REF!</definedName>
    <definedName name="MAIN">#REF!</definedName>
    <definedName name="MESG1" localSheetId="17">#REF!</definedName>
    <definedName name="MESG1">#REF!</definedName>
    <definedName name="MESG2" localSheetId="17">#REF!</definedName>
    <definedName name="MESG2">#REF!</definedName>
    <definedName name="MONTH_NAME" localSheetId="17">#REF!</definedName>
    <definedName name="MONTH_NAME">#REF!</definedName>
    <definedName name="MONTHCOUNT" localSheetId="17">#REF!</definedName>
    <definedName name="MONTHCOUNT">#REF!</definedName>
    <definedName name="NATURAL" localSheetId="17">#REF!</definedName>
    <definedName name="NATURAL">#REF!</definedName>
    <definedName name="NET_OP_INC" localSheetId="17">#REF!</definedName>
    <definedName name="NET_OP_INC">#REF!</definedName>
    <definedName name="Net_Revenues" localSheetId="17">#REF!</definedName>
    <definedName name="Net_Revenues">#REF!</definedName>
    <definedName name="Net_Unbilled_KWh" localSheetId="17">#REF!</definedName>
    <definedName name="Net_Unbilled_KWh">#REF!</definedName>
    <definedName name="Net_Unbilled_Revenue_Dollars" localSheetId="17">#REF!</definedName>
    <definedName name="Net_Unbilled_Revenue_Dollars">#REF!</definedName>
    <definedName name="netrev_hide_ku_01" localSheetId="17">'[4]LGE Gross Margin-Inc.Stmt'!#REF!</definedName>
    <definedName name="netrev_hide_ku_01">'[4]LGE Gross Margin-Inc.Stmt'!#REF!</definedName>
    <definedName name="netrev_hide_lge_01" localSheetId="17">'[4]LGE Gross Margin-Inc.Stmt'!#REF!</definedName>
    <definedName name="netrev_hide_lge_01">'[4]LGE Gross Margin-Inc.Stmt'!#REF!</definedName>
    <definedName name="netrev_ku_01" localSheetId="17">'[4]LGE Gross Margin-Inc.Stmt'!#REF!</definedName>
    <definedName name="netrev_ku_01">'[4]LGE Gross Margin-Inc.Stmt'!#REF!</definedName>
    <definedName name="NetRevenue_Annual_KU" localSheetId="17">'[4]LGE Gross Margin-Inc.Stmt'!#REF!</definedName>
    <definedName name="NetRevenue_Annual_KU">'[4]LGE Gross Margin-Inc.Stmt'!#REF!</definedName>
    <definedName name="NetRevenues" localSheetId="17">#REF!</definedName>
    <definedName name="NetRevenues">#REF!</definedName>
    <definedName name="NextReptgMo">[5]Input!$AE$19</definedName>
    <definedName name="NextReptgYr">[5]Input!$AE$21</definedName>
    <definedName name="Operating_Revenue_Dollars" localSheetId="17">#REF!</definedName>
    <definedName name="Operating_Revenue_Dollars">#REF!</definedName>
    <definedName name="Operating_Sales__KWh" localSheetId="17">#REF!</definedName>
    <definedName name="Operating_Sales__KWh">#REF!</definedName>
    <definedName name="PAGE" localSheetId="17">#REF!</definedName>
    <definedName name="PAGE">#REF!</definedName>
    <definedName name="page1" localSheetId="17">#REF!</definedName>
    <definedName name="page1">#REF!</definedName>
    <definedName name="PAGE10" localSheetId="17">#REF!</definedName>
    <definedName name="PAGE10">#REF!</definedName>
    <definedName name="PAGE1B" localSheetId="17">[3]d20!#REF!</definedName>
    <definedName name="PAGE1B">[3]d20!#REF!</definedName>
    <definedName name="page2" localSheetId="17">#REF!</definedName>
    <definedName name="page2">#REF!</definedName>
    <definedName name="PAGE7" localSheetId="17">#REF!</definedName>
    <definedName name="PAGE7">#REF!</definedName>
    <definedName name="page8" localSheetId="17">#REF!</definedName>
    <definedName name="page8">#REF!</definedName>
    <definedName name="PAGE9" localSheetId="17">#REF!</definedName>
    <definedName name="PAGE9">#REF!</definedName>
    <definedName name="PERCENT" localSheetId="17">#REF!</definedName>
    <definedName name="PERCENT">#REF!</definedName>
    <definedName name="PgFERC_449" localSheetId="17">#REF!</definedName>
    <definedName name="PgFERC_449">#REF!</definedName>
    <definedName name="Plan" localSheetId="17">#REF!</definedName>
    <definedName name="Plan">#REF!</definedName>
    <definedName name="_xlnm.Print_Area" localSheetId="2">'Exh. LK-11 (Pages 1-3)'!$A$1:$T$100</definedName>
    <definedName name="_xlnm.Print_Area" localSheetId="3">'Exh. LK-11 (Pages 4-6)'!$A$1:$T$106</definedName>
    <definedName name="_xlnm.Print_Area" localSheetId="4">'Exh. LK-12'!$A$1:$V$126</definedName>
    <definedName name="_xlnm.Print_Area" localSheetId="5">'Exh. LK-14'!$A$1:$X$126</definedName>
    <definedName name="_xlnm.Print_Area" localSheetId="6">'Exh. LK-15'!$A$1:$P$69</definedName>
    <definedName name="_xlnm.Print_Area" localSheetId="7">'Exh. LK-16'!$A$1:$R$34</definedName>
    <definedName name="_xlnm.Print_Area" localSheetId="9">'Exh. LK-21'!$A$1:$I$62</definedName>
    <definedName name="_xlnm.Print_Area" localSheetId="11">'Exh. LK-27 - Page 1'!$A$1:$D$26</definedName>
    <definedName name="_xlnm.Print_Area" localSheetId="13">'Exh. LK-28'!$A$1:$J$189</definedName>
    <definedName name="_xlnm.Print_Area" localSheetId="14">'Exh. LK-29'!$A$1:$J$189</definedName>
    <definedName name="_xlnm.Print_Area" localSheetId="15">'Exh. LK-30'!$A$1:$H$102</definedName>
    <definedName name="_xlnm.Print_Area" localSheetId="16">'Exh. LK-33'!$A$1:$M$60</definedName>
    <definedName name="_xlnm.Print_Area" localSheetId="17">'Exh. LK-34'!$A$1:$L$24</definedName>
    <definedName name="_xlnm.Print_Area" localSheetId="18">'Exh. LK-35'!$A$1:$D$18</definedName>
    <definedName name="_xlnm.Print_Area" localSheetId="0">'Exh. LK-6'!$A$1:$J$50</definedName>
    <definedName name="_xlnm.Print_Area" localSheetId="1">'Exh. LK-8'!$A$1:$J$57</definedName>
    <definedName name="_xlnm.Print_Titles" localSheetId="23">'As Adjusted MFR Sch. D-4 (2017)'!$A:$B,'As Adjusted MFR Sch. D-4 (2017)'!$1:$11</definedName>
    <definedName name="_xlnm.Print_Titles" localSheetId="25">'As Adjusted MFR Sch. D-4 (2018)'!$A:$B,'As Adjusted MFR Sch. D-4 (2018)'!$1:$11</definedName>
    <definedName name="_xlnm.Print_Titles" localSheetId="22">'As Filed MFR Sch. D-4 (2017)'!$A:$B,'As Filed MFR Sch. D-4 (2017)'!$1:$11</definedName>
    <definedName name="_xlnm.Print_Titles" localSheetId="24">'As Filed MFR Sch. D-4 (2018)'!$A:$B,'As Filed MFR Sch. D-4 (2018)'!$1:$11</definedName>
    <definedName name="_xlnm.Print_Titles" localSheetId="2">'Exh. LK-11 (Pages 1-3)'!$1:$6</definedName>
    <definedName name="_xlnm.Print_Titles" localSheetId="3">'Exh. LK-11 (Pages 4-6)'!$1:$6</definedName>
    <definedName name="_xlnm.Print_Titles" localSheetId="4">'Exh. LK-12'!$1:$10</definedName>
    <definedName name="_xlnm.Print_Titles" localSheetId="5">'Exh. LK-14'!$1:$10</definedName>
    <definedName name="_xlnm.Print_Titles" localSheetId="6">'Exh. LK-15'!$1:$16</definedName>
    <definedName name="_xlnm.Print_Titles" localSheetId="7">'Exh. LK-16'!$1:$10</definedName>
    <definedName name="_xlnm.Print_Titles" localSheetId="9">'Exh. LK-21'!$1:$8</definedName>
    <definedName name="_xlnm.Print_Titles" localSheetId="13">'Exh. LK-28'!$1:$6</definedName>
    <definedName name="_xlnm.Print_Titles" localSheetId="14">'Exh. LK-29'!$1:$6</definedName>
    <definedName name="_xlnm.Print_Titles" localSheetId="15">'Exh. LK-30'!$1:$7</definedName>
    <definedName name="_xlnm.Print_Titles" localSheetId="16">'Exh. LK-33'!$1:$6</definedName>
    <definedName name="PRINT1" localSheetId="17">#REF!</definedName>
    <definedName name="PRINT1">#REF!</definedName>
    <definedName name="PUBLIC" localSheetId="17">#REF!</definedName>
    <definedName name="PUBLIC">#REF!</definedName>
    <definedName name="PWRGENBAL" localSheetId="17">#REF!</definedName>
    <definedName name="PWRGENBAL">#REF!</definedName>
    <definedName name="PWRGENCASH" localSheetId="17">#REF!</definedName>
    <definedName name="PWRGENCASH">#REF!</definedName>
    <definedName name="QtrbyMonth" localSheetId="17">#REF!</definedName>
    <definedName name="QtrbyMonth">#REF!</definedName>
    <definedName name="RangeRptgMo">[9]Main!$K$11</definedName>
    <definedName name="RangeRptgYr">[10]Main!$G$5</definedName>
    <definedName name="REPORT" localSheetId="17">#REF!</definedName>
    <definedName name="REPORT">#REF!</definedName>
    <definedName name="ReportTitle1" localSheetId="17">#REF!</definedName>
    <definedName name="ReportTitle1">#REF!</definedName>
    <definedName name="require_hide_ku_01" localSheetId="17">'[4]LGE Require &amp; Source'!#REF!</definedName>
    <definedName name="require_hide_ku_01">'[4]LGE Require &amp; Source'!#REF!</definedName>
    <definedName name="require_hide_lge_01" localSheetId="17">'[4]LGE Require &amp; Source'!#REF!</definedName>
    <definedName name="require_hide_lge_01">'[4]LGE Require &amp; Source'!#REF!</definedName>
    <definedName name="require_ku_01" localSheetId="17">'[4]LGE Require &amp; Source'!#REF!</definedName>
    <definedName name="require_ku_01">'[4]LGE Require &amp; Source'!#REF!</definedName>
    <definedName name="Requirements_Annual_KU" localSheetId="17">'[4]LGE Require &amp; Source'!#REF!</definedName>
    <definedName name="Requirements_Annual_KU">'[4]LGE Require &amp; Source'!#REF!</definedName>
    <definedName name="Requirements_Data" localSheetId="17">'[4]LGE Require &amp; Source'!#REF!</definedName>
    <definedName name="Requirements_Data">'[4]LGE Require &amp; Source'!#REF!</definedName>
    <definedName name="Requirements_KU" localSheetId="17">'[4]LGE Require &amp; Source'!#REF!</definedName>
    <definedName name="Requirements_KU">'[4]LGE Require &amp; Source'!#REF!</definedName>
    <definedName name="RevCol01" localSheetId="17">#REF!</definedName>
    <definedName name="RevCol01">#REF!</definedName>
    <definedName name="RevCol01A" localSheetId="17">#REF!</definedName>
    <definedName name="RevCol01A">#REF!</definedName>
    <definedName name="RevCol01B" localSheetId="17">#REF!</definedName>
    <definedName name="RevCol01B">#REF!</definedName>
    <definedName name="RevCol02" localSheetId="17">#REF!</definedName>
    <definedName name="RevCol02">#REF!</definedName>
    <definedName name="RevCol02A" localSheetId="17">#REF!</definedName>
    <definedName name="RevCol02A">#REF!</definedName>
    <definedName name="RevCol02B" localSheetId="17">#REF!</definedName>
    <definedName name="RevCol02B">#REF!</definedName>
    <definedName name="RevCol03" localSheetId="17">#REF!</definedName>
    <definedName name="RevCol03">#REF!</definedName>
    <definedName name="RevCol04" localSheetId="17">#REF!</definedName>
    <definedName name="RevCol04">#REF!</definedName>
    <definedName name="RevCol05" localSheetId="17">#REF!</definedName>
    <definedName name="RevCol05">#REF!</definedName>
    <definedName name="RevCol06" localSheetId="17">#REF!</definedName>
    <definedName name="RevCol06">#REF!</definedName>
    <definedName name="RevCol07" localSheetId="17">#REF!</definedName>
    <definedName name="RevCol07">#REF!</definedName>
    <definedName name="RevCol08" localSheetId="17">#REF!</definedName>
    <definedName name="RevCol08">#REF!</definedName>
    <definedName name="RevCol09" localSheetId="17">#REF!</definedName>
    <definedName name="RevCol09">#REF!</definedName>
    <definedName name="RevCol10" localSheetId="17">#REF!</definedName>
    <definedName name="RevCol10">#REF!</definedName>
    <definedName name="RevCol11" localSheetId="17">#REF!</definedName>
    <definedName name="RevCol11">#REF!</definedName>
    <definedName name="RevCol12" localSheetId="17">#REF!</definedName>
    <definedName name="RevCol12">#REF!</definedName>
    <definedName name="RevCol13" localSheetId="17">#REF!</definedName>
    <definedName name="RevCol13">#REF!</definedName>
    <definedName name="RevCol14" localSheetId="17">#REF!</definedName>
    <definedName name="RevCol14">#REF!</definedName>
    <definedName name="RevCol15" localSheetId="17">#REF!</definedName>
    <definedName name="RevCol15">#REF!</definedName>
    <definedName name="RevCol16" localSheetId="17">#REF!</definedName>
    <definedName name="RevCol16">#REF!</definedName>
    <definedName name="RevCol17" localSheetId="17">#REF!</definedName>
    <definedName name="RevCol17">#REF!</definedName>
    <definedName name="RevCol18" localSheetId="17">#REF!</definedName>
    <definedName name="RevCol18">#REF!</definedName>
    <definedName name="RevCol19" localSheetId="17">#REF!</definedName>
    <definedName name="RevCol19">#REF!</definedName>
    <definedName name="RevCol20" localSheetId="17">#REF!</definedName>
    <definedName name="RevCol20">#REF!</definedName>
    <definedName name="RevCol21" localSheetId="17">#REF!</definedName>
    <definedName name="RevCol21">#REF!</definedName>
    <definedName name="RevCol22" localSheetId="17">#REF!</definedName>
    <definedName name="RevCol22">#REF!</definedName>
    <definedName name="RevCol23" localSheetId="17">#REF!</definedName>
    <definedName name="RevCol23">#REF!</definedName>
    <definedName name="RevCol24" localSheetId="17">#REF!</definedName>
    <definedName name="RevCol24">#REF!</definedName>
    <definedName name="RevCol25" localSheetId="17">#REF!</definedName>
    <definedName name="RevCol25">#REF!</definedName>
    <definedName name="RevCol26" localSheetId="17">#REF!</definedName>
    <definedName name="RevCol26">#REF!</definedName>
    <definedName name="RevCol27" localSheetId="17">#REF!</definedName>
    <definedName name="RevCol27">#REF!</definedName>
    <definedName name="RevCol28" localSheetId="17">#REF!</definedName>
    <definedName name="RevCol28">#REF!</definedName>
    <definedName name="RevCol29" localSheetId="17">#REF!</definedName>
    <definedName name="RevCol29">#REF!</definedName>
    <definedName name="RevCol30" localSheetId="17">#REF!</definedName>
    <definedName name="RevCol30">#REF!</definedName>
    <definedName name="RevCol31" localSheetId="17">#REF!</definedName>
    <definedName name="RevCol31">#REF!</definedName>
    <definedName name="RevCol32" localSheetId="17">#REF!</definedName>
    <definedName name="RevCol32">#REF!</definedName>
    <definedName name="RevCol33" localSheetId="17">#REF!</definedName>
    <definedName name="RevCol33">#REF!</definedName>
    <definedName name="RevCol34" localSheetId="17">#REF!</definedName>
    <definedName name="RevCol34">#REF!</definedName>
    <definedName name="RevCol35" localSheetId="17">#REF!</definedName>
    <definedName name="RevCol35">#REF!</definedName>
    <definedName name="RevCol36" localSheetId="17">#REF!</definedName>
    <definedName name="RevCol36">#REF!</definedName>
    <definedName name="RevCol37" localSheetId="17">#REF!</definedName>
    <definedName name="RevCol37">#REF!</definedName>
    <definedName name="RevColTmp" localSheetId="17">#REF!</definedName>
    <definedName name="RevColTmp">#REF!</definedName>
    <definedName name="RevColTmpA" localSheetId="17">#REF!</definedName>
    <definedName name="RevColTmpA">#REF!</definedName>
    <definedName name="RevColTmpB" localSheetId="17">#REF!</definedName>
    <definedName name="RevColTmpB">#REF!</definedName>
    <definedName name="revenues_hide_ku_01" localSheetId="17">'[4]KU Other Electric Revenues'!#REF!</definedName>
    <definedName name="revenues_hide_ku_01">'[4]KU Other Electric Revenues'!#REF!</definedName>
    <definedName name="revenues_ku_01" localSheetId="17">'[4]KU Other Electric Revenues'!#REF!</definedName>
    <definedName name="revenues_ku_01">'[4]KU Other Electric Revenues'!#REF!</definedName>
    <definedName name="RowDetails1" localSheetId="17">#REF!</definedName>
    <definedName name="RowDetails1">#REF!</definedName>
    <definedName name="RPTCOL" localSheetId="17">#REF!</definedName>
    <definedName name="RPTCOL">#REF!</definedName>
    <definedName name="RPTROW" localSheetId="17">#REF!</definedName>
    <definedName name="RPTROW">#REF!</definedName>
    <definedName name="Sales" localSheetId="17">'[4]LGE Sales'!#REF!</definedName>
    <definedName name="Sales">'[4]LGE Sales'!#REF!</definedName>
    <definedName name="sales_hide_ku_01" localSheetId="17">'[4]LGE Sales'!#REF!</definedName>
    <definedName name="sales_hide_ku_01">'[4]LGE Sales'!#REF!</definedName>
    <definedName name="sales_ku_01" localSheetId="17">'[4]LGE Sales'!#REF!</definedName>
    <definedName name="sales_ku_01">'[4]LGE Sales'!#REF!</definedName>
    <definedName name="sales_title_ku" localSheetId="17">'[4]LGE Sales'!#REF!</definedName>
    <definedName name="sales_title_ku">'[4]LGE Sales'!#REF!</definedName>
    <definedName name="SCHEDZ" localSheetId="17">#REF!</definedName>
    <definedName name="SCHEDZ">#REF!</definedName>
    <definedName name="shoot" localSheetId="17">#REF!</definedName>
    <definedName name="shoot">#REF!</definedName>
    <definedName name="START" localSheetId="17">#REF!</definedName>
    <definedName name="START">#REF!</definedName>
    <definedName name="START2" localSheetId="17">#REF!</definedName>
    <definedName name="START2">#REF!</definedName>
    <definedName name="START3" localSheetId="17">#REF!</definedName>
    <definedName name="START3">#REF!</definedName>
    <definedName name="Support" localSheetId="17">#REF!</definedName>
    <definedName name="Support">#REF!</definedName>
    <definedName name="SUPPORT5" localSheetId="17">#REF!</definedName>
    <definedName name="SUPPORT5">#REF!</definedName>
    <definedName name="SUPPORT6" localSheetId="17">#REF!</definedName>
    <definedName name="SUPPORT6">#REF!</definedName>
    <definedName name="TAX_RATE" localSheetId="17">'[7]#REF'!#REF!</definedName>
    <definedName name="TAX_RATE">'[7]#REF'!#REF!</definedName>
    <definedName name="TempReptgMo">[5]Input!$AG$19</definedName>
    <definedName name="TempReptgYr">[5]Input!$AG$21</definedName>
    <definedName name="TenyrNIAC" localSheetId="17">#REF!</definedName>
    <definedName name="TenyrNIAC">#REF!</definedName>
    <definedName name="TenyrRev" localSheetId="17">#REF!</definedName>
    <definedName name="TenyrRev">#REF!</definedName>
    <definedName name="test">[0]!test</definedName>
    <definedName name="Title" localSheetId="17">#REF!</definedName>
    <definedName name="Title">#REF!</definedName>
    <definedName name="Title_Choice" localSheetId="17">#REF!</definedName>
    <definedName name="Title_Choice">#REF!</definedName>
    <definedName name="Titles" localSheetId="17">#REF!</definedName>
    <definedName name="Titles">#REF!</definedName>
    <definedName name="Titles_KU" localSheetId="17">#REF!</definedName>
    <definedName name="Titles_KU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tt" localSheetId="17">#REF!</definedName>
    <definedName name="ttt">#REF!</definedName>
    <definedName name="UpdateDate">[5]Input!$M$12</definedName>
    <definedName name="UpdateTime">[5]Input!$O$12</definedName>
    <definedName name="VALLEY" localSheetId="17">#REF!</definedName>
    <definedName name="VALLEY">#REF!</definedName>
    <definedName name="Variance" localSheetId="17">#REF!</definedName>
    <definedName name="Variance">#REF!</definedName>
    <definedName name="VIEW1" localSheetId="17">#REF!</definedName>
    <definedName name="VIEW1">#REF!</definedName>
    <definedName name="vol_rev_annual_ku" localSheetId="17">'[4]LGE Retail Margin'!#REF!</definedName>
    <definedName name="vol_rev_annual_ku">'[4]LGE Retail Margin'!#REF!</definedName>
    <definedName name="vol_rev_hide_ku_monthly" localSheetId="17">'[4]LGE Retail Margin'!#REF!</definedName>
    <definedName name="vol_rev_hide_ku_monthly">'[4]LGE Retail Margin'!#REF!</definedName>
    <definedName name="vol_rev_hide_lge_01" localSheetId="17">'[4]LGE Retail Margin'!#REF!</definedName>
    <definedName name="vol_rev_hide_lge_01">'[4]LGE Retail Margin'!#REF!</definedName>
    <definedName name="vol_rev_ku_monthly" localSheetId="17">'[4]LGE Retail Margin'!#REF!</definedName>
    <definedName name="vol_rev_ku_monthly">'[4]LGE Retail Margin'!#REF!</definedName>
    <definedName name="volrev_data" localSheetId="17">'[4]LGE Retail Margin'!#REF!</definedName>
    <definedName name="volrev_data">'[4]LGE Retail Margin'!#REF!</definedName>
    <definedName name="WORKERS" localSheetId="17">#REF!</definedName>
    <definedName name="WORKERS">#REF!</definedName>
    <definedName name="wrn.Benefits." localSheetId="26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3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4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5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7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8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9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0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1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6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7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8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7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1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9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0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localSheetId="26" hidden="1">{"Benefits Summary",#N/A,FALSE,"Benefits Info without WC Amount";"Medical and Dental Costs",#N/A,FALSE,"Benefits Info without WC Amount";"Workers' Compensation",#N/A,FALSE,"Benefits Info without WC Amount"}</definedName>
    <definedName name="x" localSheetId="2" hidden="1">{"Benefits Summary",#N/A,FALSE,"Benefits Info without WC Amount";"Medical and Dental Costs",#N/A,FALSE,"Benefits Info without WC Amount";"Workers' Compensation",#N/A,FALSE,"Benefits Info without WC Amount"}</definedName>
    <definedName name="x" localSheetId="3" hidden="1">{"Benefits Summary",#N/A,FALSE,"Benefits Info without WC Amount";"Medical and Dental Costs",#N/A,FALSE,"Benefits Info without WC Amount";"Workers' Compensation",#N/A,FALSE,"Benefits Info without WC Amount"}</definedName>
    <definedName name="x" localSheetId="4" hidden="1">{"Benefits Summary",#N/A,FALSE,"Benefits Info without WC Amount";"Medical and Dental Costs",#N/A,FALSE,"Benefits Info without WC Amount";"Workers' Compensation",#N/A,FALSE,"Benefits Info without WC Amount"}</definedName>
    <definedName name="x" localSheetId="5" hidden="1">{"Benefits Summary",#N/A,FALSE,"Benefits Info without WC Amount";"Medical and Dental Costs",#N/A,FALSE,"Benefits Info without WC Amount";"Workers' Compensation",#N/A,FALSE,"Benefits Info without WC Amount"}</definedName>
    <definedName name="x" localSheetId="7" hidden="1">{"Benefits Summary",#N/A,FALSE,"Benefits Info without WC Amount";"Medical and Dental Costs",#N/A,FALSE,"Benefits Info without WC Amount";"Workers' Compensation",#N/A,FALSE,"Benefits Info without WC Amount"}</definedName>
    <definedName name="x" localSheetId="8" hidden="1">{"Benefits Summary",#N/A,FALSE,"Benefits Info without WC Amount";"Medical and Dental Costs",#N/A,FALSE,"Benefits Info without WC Amount";"Workers' Compensation",#N/A,FALSE,"Benefits Info without WC Amount"}</definedName>
    <definedName name="x" localSheetId="9" hidden="1">{"Benefits Summary",#N/A,FALSE,"Benefits Info without WC Amount";"Medical and Dental Costs",#N/A,FALSE,"Benefits Info without WC Amount";"Workers' Compensation",#N/A,FALSE,"Benefits Info without WC Amount"}</definedName>
    <definedName name="x" localSheetId="10" hidden="1">{"Benefits Summary",#N/A,FALSE,"Benefits Info without WC Amount";"Medical and Dental Costs",#N/A,FALSE,"Benefits Info without WC Amount";"Workers' Compensation",#N/A,FALSE,"Benefits Info without WC Amount"}</definedName>
    <definedName name="x" localSheetId="11" hidden="1">{"Benefits Summary",#N/A,FALSE,"Benefits Info without WC Amount";"Medical and Dental Costs",#N/A,FALSE,"Benefits Info without WC Amount";"Workers' Compensation",#N/A,FALSE,"Benefits Info without WC Amount"}</definedName>
    <definedName name="x" localSheetId="12" hidden="1">{"Benefits Summary",#N/A,FALSE,"Benefits Info without WC Amount";"Medical and Dental Costs",#N/A,FALSE,"Benefits Info without WC Amount";"Workers' Compensation",#N/A,FALSE,"Benefits Info without WC Amount"}</definedName>
    <definedName name="x" localSheetId="16" hidden="1">{"Benefits Summary",#N/A,FALSE,"Benefits Info without WC Amount";"Medical and Dental Costs",#N/A,FALSE,"Benefits Info without WC Amount";"Workers' Compensation",#N/A,FALSE,"Benefits Info without WC Amount"}</definedName>
    <definedName name="x" localSheetId="17" hidden="1">{"Benefits Summary",#N/A,FALSE,"Benefits Info without WC Amount";"Medical and Dental Costs",#N/A,FALSE,"Benefits Info without WC Amount";"Workers' Compensation",#N/A,FALSE,"Benefits Info without WC Amount"}</definedName>
    <definedName name="x" localSheetId="18" hidden="1">{"Benefits Summary",#N/A,FALSE,"Benefits Info without WC Amount";"Medical and Dental Costs",#N/A,FALSE,"Benefits Info without WC Amount";"Workers' Compensation",#N/A,FALSE,"Benefits Info without WC Amount"}</definedName>
    <definedName name="x" localSheetId="0" hidden="1">{"Benefits Summary",#N/A,FALSE,"Benefits Info without WC Amount";"Medical and Dental Costs",#N/A,FALSE,"Benefits Info without WC Amount";"Workers' Compensation",#N/A,FALSE,"Benefits Info without WC Amount"}</definedName>
    <definedName name="x" localSheetId="1" hidden="1">{"Benefits Summary",#N/A,FALSE,"Benefits Info without WC Amount";"Medical and Dental Costs",#N/A,FALSE,"Benefits Info without WC Amount";"Workers' Compensation",#N/A,FALSE,"Benefits Info without WC Amount"}</definedName>
    <definedName name="x" localSheetId="27" hidden="1">{"Benefits Summary",#N/A,FALSE,"Benefits Info without WC Amount";"Medical and Dental Costs",#N/A,FALSE,"Benefits Info without WC Amount";"Workers' Compensation",#N/A,FALSE,"Benefits Info without WC Amount"}</definedName>
    <definedName name="x" localSheetId="21" hidden="1">{"Benefits Summary",#N/A,FALSE,"Benefits Info without WC Amount";"Medical and Dental Costs",#N/A,FALSE,"Benefits Info without WC Amount";"Workers' Compensation",#N/A,FALSE,"Benefits Info without WC Amount"}</definedName>
    <definedName name="x" localSheetId="19" hidden="1">{"Benefits Summary",#N/A,FALSE,"Benefits Info without WC Amount";"Medical and Dental Costs",#N/A,FALSE,"Benefits Info without WC Amount";"Workers' Compensation",#N/A,FALSE,"Benefits Info without WC Amount"}</definedName>
    <definedName name="x" localSheetId="20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YTD" localSheetId="17">#REF!</definedName>
    <definedName name="YTD">#REF!</definedName>
    <definedName name="Z_23F18827_7997_11D6_8750_00508BD3B3BA_.wvu.Cols" localSheetId="23" hidden="1">#REF!,#REF!</definedName>
    <definedName name="Z_23F18827_7997_11D6_8750_00508BD3B3BA_.wvu.Cols" localSheetId="25" hidden="1">#REF!,#REF!</definedName>
    <definedName name="Z_23F18827_7997_11D6_8750_00508BD3B3BA_.wvu.Cols" localSheetId="3" hidden="1">#REF!,#REF!</definedName>
    <definedName name="Z_23F18827_7997_11D6_8750_00508BD3B3BA_.wvu.Cols" localSheetId="4" hidden="1">#REF!,#REF!</definedName>
    <definedName name="Z_23F18827_7997_11D6_8750_00508BD3B3BA_.wvu.Cols" localSheetId="5" hidden="1">#REF!,#REF!</definedName>
    <definedName name="Z_23F18827_7997_11D6_8750_00508BD3B3BA_.wvu.Cols" localSheetId="7" hidden="1">#REF!,#REF!</definedName>
    <definedName name="Z_23F18827_7997_11D6_8750_00508BD3B3BA_.wvu.Cols" localSheetId="8" hidden="1">#REF!,#REF!</definedName>
    <definedName name="Z_23F18827_7997_11D6_8750_00508BD3B3BA_.wvu.Cols" localSheetId="9" hidden="1">#REF!,#REF!</definedName>
    <definedName name="Z_23F18827_7997_11D6_8750_00508BD3B3BA_.wvu.Cols" localSheetId="16" hidden="1">#REF!,#REF!</definedName>
    <definedName name="Z_23F18827_7997_11D6_8750_00508BD3B3BA_.wvu.Cols" localSheetId="17" hidden="1">#REF!,#REF!</definedName>
    <definedName name="Z_23F18827_7997_11D6_8750_00508BD3B3BA_.wvu.Cols" localSheetId="1" hidden="1">#REF!,#REF!</definedName>
    <definedName name="Z_23F18827_7997_11D6_8750_00508BD3B3BA_.wvu.Cols" hidden="1">#REF!,#REF!</definedName>
    <definedName name="Z_23F18827_7997_11D6_8750_00508BD3B3BA_.wvu.PrintArea" localSheetId="23" hidden="1">#REF!</definedName>
    <definedName name="Z_23F18827_7997_11D6_8750_00508BD3B3BA_.wvu.PrintArea" localSheetId="25" hidden="1">#REF!</definedName>
    <definedName name="Z_23F18827_7997_11D6_8750_00508BD3B3BA_.wvu.PrintArea" localSheetId="3" hidden="1">#REF!</definedName>
    <definedName name="Z_23F18827_7997_11D6_8750_00508BD3B3BA_.wvu.PrintArea" localSheetId="4" hidden="1">#REF!</definedName>
    <definedName name="Z_23F18827_7997_11D6_8750_00508BD3B3BA_.wvu.PrintArea" localSheetId="5" hidden="1">#REF!</definedName>
    <definedName name="Z_23F18827_7997_11D6_8750_00508BD3B3BA_.wvu.PrintArea" localSheetId="7" hidden="1">#REF!</definedName>
    <definedName name="Z_23F18827_7997_11D6_8750_00508BD3B3BA_.wvu.PrintArea" localSheetId="8" hidden="1">#REF!</definedName>
    <definedName name="Z_23F18827_7997_11D6_8750_00508BD3B3BA_.wvu.PrintArea" localSheetId="9" hidden="1">#REF!</definedName>
    <definedName name="Z_23F18827_7997_11D6_8750_00508BD3B3BA_.wvu.PrintArea" localSheetId="16" hidden="1">#REF!</definedName>
    <definedName name="Z_23F18827_7997_11D6_8750_00508BD3B3BA_.wvu.PrintArea" localSheetId="17" hidden="1">#REF!</definedName>
    <definedName name="Z_23F18827_7997_11D6_8750_00508BD3B3BA_.wvu.PrintArea" localSheetId="1" hidden="1">#REF!</definedName>
    <definedName name="Z_23F18827_7997_11D6_8750_00508BD3B3BA_.wvu.PrintArea" hidden="1">#REF!</definedName>
  </definedNames>
  <calcPr calcId="145621"/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7" i="2"/>
  <c r="D20" i="2"/>
  <c r="D21" i="2"/>
  <c r="D23" i="2" s="1"/>
  <c r="D25" i="2" s="1"/>
  <c r="D13" i="17" l="1"/>
  <c r="I20" i="34" l="1"/>
  <c r="I19" i="3"/>
  <c r="H113" i="36" l="1"/>
  <c r="H113" i="1"/>
  <c r="K17" i="50"/>
  <c r="E99" i="36"/>
  <c r="E98" i="1"/>
  <c r="E86" i="16"/>
  <c r="G82" i="16"/>
  <c r="H82" i="16" s="1"/>
  <c r="B16" i="18" l="1"/>
  <c r="D12" i="17"/>
  <c r="L10" i="51"/>
  <c r="L14" i="51" s="1"/>
  <c r="L16" i="51" s="1"/>
  <c r="L17" i="51" s="1"/>
  <c r="F14" i="21"/>
  <c r="D12" i="35" s="1"/>
  <c r="D14" i="21"/>
  <c r="L18" i="51" l="1"/>
  <c r="J12" i="18"/>
  <c r="C19" i="24"/>
  <c r="A20" i="24"/>
  <c r="A19" i="24"/>
  <c r="A18" i="24"/>
  <c r="A17" i="24"/>
  <c r="A16" i="24"/>
  <c r="A15" i="24"/>
  <c r="A14" i="24"/>
  <c r="K57" i="50"/>
  <c r="K60" i="50" s="1"/>
  <c r="M17" i="50"/>
  <c r="K26" i="50" l="1"/>
  <c r="K27" i="50" s="1"/>
  <c r="K43" i="50"/>
  <c r="K44" i="50" s="1"/>
  <c r="K45" i="50" s="1"/>
  <c r="K47" i="50" s="1"/>
  <c r="K49" i="50" s="1"/>
  <c r="K19" i="50" s="1"/>
  <c r="K21" i="50" s="1"/>
  <c r="M26" i="50"/>
  <c r="M27" i="50" s="1"/>
  <c r="M43" i="50"/>
  <c r="M44" i="50" s="1"/>
  <c r="M45" i="50" s="1"/>
  <c r="M47" i="50" s="1"/>
  <c r="M49" i="50" s="1"/>
  <c r="M19" i="50" s="1"/>
  <c r="M21" i="50" s="1"/>
  <c r="K28" i="50" l="1"/>
  <c r="K30" i="50" s="1"/>
  <c r="K32" i="50" s="1"/>
  <c r="K34" i="50" s="1"/>
  <c r="K36" i="50" s="1"/>
  <c r="M28" i="50"/>
  <c r="M30" i="50" s="1"/>
  <c r="M32" i="50" s="1"/>
  <c r="M34" i="50" s="1"/>
  <c r="M36" i="50" s="1"/>
  <c r="L13" i="49" l="1"/>
  <c r="H13" i="49"/>
  <c r="L11" i="49"/>
  <c r="H11" i="49"/>
  <c r="R19" i="49"/>
  <c r="J104" i="48"/>
  <c r="N104" i="48" s="1"/>
  <c r="J103" i="48"/>
  <c r="J105" i="48" s="1"/>
  <c r="J100" i="48"/>
  <c r="N100" i="48" s="1"/>
  <c r="J99" i="48"/>
  <c r="J101" i="48" s="1"/>
  <c r="J96" i="48"/>
  <c r="N96" i="48" s="1"/>
  <c r="J95" i="48"/>
  <c r="J97" i="48" s="1"/>
  <c r="J92" i="48"/>
  <c r="J93" i="48" s="1"/>
  <c r="J91" i="48"/>
  <c r="N91" i="48" s="1"/>
  <c r="J88" i="48"/>
  <c r="N88" i="48" s="1"/>
  <c r="J87" i="48"/>
  <c r="N87" i="48" s="1"/>
  <c r="J84" i="48"/>
  <c r="J85" i="48" s="1"/>
  <c r="J83" i="48"/>
  <c r="N83" i="48" s="1"/>
  <c r="J80" i="48"/>
  <c r="N80" i="48" s="1"/>
  <c r="J79" i="48"/>
  <c r="N79" i="48" s="1"/>
  <c r="J76" i="48"/>
  <c r="N76" i="48" s="1"/>
  <c r="J75" i="48"/>
  <c r="J72" i="48"/>
  <c r="N72" i="48" s="1"/>
  <c r="J71" i="48"/>
  <c r="J68" i="48"/>
  <c r="N68" i="48" s="1"/>
  <c r="J67" i="48"/>
  <c r="J64" i="48"/>
  <c r="N64" i="48" s="1"/>
  <c r="J63" i="48"/>
  <c r="J60" i="48"/>
  <c r="J61" i="48" s="1"/>
  <c r="J59" i="48"/>
  <c r="N59" i="48" s="1"/>
  <c r="J56" i="48"/>
  <c r="N56" i="48" s="1"/>
  <c r="J55" i="48"/>
  <c r="J57" i="48" s="1"/>
  <c r="J52" i="48"/>
  <c r="N52" i="48" s="1"/>
  <c r="J51" i="48"/>
  <c r="J53" i="48" s="1"/>
  <c r="J44" i="48"/>
  <c r="N44" i="48" s="1"/>
  <c r="J43" i="48"/>
  <c r="J45" i="48" s="1"/>
  <c r="J40" i="48"/>
  <c r="N40" i="48" s="1"/>
  <c r="J39" i="48"/>
  <c r="J36" i="48"/>
  <c r="N36" i="48" s="1"/>
  <c r="J35" i="48"/>
  <c r="J37" i="48" s="1"/>
  <c r="J32" i="48"/>
  <c r="N32" i="48" s="1"/>
  <c r="J31" i="48"/>
  <c r="J28" i="48"/>
  <c r="N28" i="48" s="1"/>
  <c r="J27" i="48"/>
  <c r="J24" i="48"/>
  <c r="N24" i="48" s="1"/>
  <c r="J23" i="48"/>
  <c r="J20" i="48"/>
  <c r="N20" i="48" s="1"/>
  <c r="J19" i="48"/>
  <c r="J16" i="48"/>
  <c r="N16" i="48" s="1"/>
  <c r="J15" i="48"/>
  <c r="J12" i="48"/>
  <c r="N12" i="48" s="1"/>
  <c r="J11" i="48"/>
  <c r="J48" i="48"/>
  <c r="N48" i="48" s="1"/>
  <c r="J47" i="48"/>
  <c r="N47" i="48" s="1"/>
  <c r="J17" i="48" l="1"/>
  <c r="J65" i="48"/>
  <c r="J73" i="48"/>
  <c r="J49" i="48"/>
  <c r="N63" i="48"/>
  <c r="N13" i="49"/>
  <c r="P13" i="49" s="1"/>
  <c r="R13" i="49" s="1"/>
  <c r="N11" i="49"/>
  <c r="P11" i="49" s="1"/>
  <c r="R11" i="49" s="1"/>
  <c r="R17" i="49" s="1"/>
  <c r="J25" i="48"/>
  <c r="N103" i="48"/>
  <c r="N105" i="48" s="1"/>
  <c r="N99" i="48"/>
  <c r="N101" i="48" s="1"/>
  <c r="N95" i="48"/>
  <c r="N97" i="48" s="1"/>
  <c r="N92" i="48"/>
  <c r="N93" i="48"/>
  <c r="N89" i="48"/>
  <c r="J89" i="48"/>
  <c r="N84" i="48"/>
  <c r="N85" i="48" s="1"/>
  <c r="N81" i="48"/>
  <c r="J81" i="48"/>
  <c r="J77" i="48"/>
  <c r="N75" i="48"/>
  <c r="N77" i="48" s="1"/>
  <c r="N71" i="48"/>
  <c r="N73" i="48" s="1"/>
  <c r="J69" i="48"/>
  <c r="N67" i="48"/>
  <c r="N69" i="48" s="1"/>
  <c r="N65" i="48"/>
  <c r="N60" i="48"/>
  <c r="N61" i="48" s="1"/>
  <c r="N55" i="48"/>
  <c r="N57" i="48" s="1"/>
  <c r="N51" i="48"/>
  <c r="N53" i="48" s="1"/>
  <c r="N43" i="48"/>
  <c r="N45" i="48" s="1"/>
  <c r="J41" i="48"/>
  <c r="N39" i="48"/>
  <c r="N41" i="48" s="1"/>
  <c r="N35" i="48"/>
  <c r="N37" i="48" s="1"/>
  <c r="J33" i="48"/>
  <c r="N31" i="48"/>
  <c r="N33" i="48" s="1"/>
  <c r="J29" i="48"/>
  <c r="N27" i="48"/>
  <c r="N29" i="48" s="1"/>
  <c r="N23" i="48"/>
  <c r="N25" i="48" s="1"/>
  <c r="J21" i="48"/>
  <c r="N19" i="48"/>
  <c r="N21" i="48" s="1"/>
  <c r="N15" i="48"/>
  <c r="N17" i="48" s="1"/>
  <c r="J13" i="48"/>
  <c r="N11" i="48"/>
  <c r="N13" i="48" s="1"/>
  <c r="R21" i="49" l="1"/>
  <c r="J25" i="49" l="1"/>
  <c r="N25" i="49"/>
  <c r="N26" i="49" s="1"/>
  <c r="N27" i="49" s="1"/>
  <c r="X111" i="48"/>
  <c r="H105" i="48"/>
  <c r="F105" i="48"/>
  <c r="H101" i="48"/>
  <c r="F101" i="48"/>
  <c r="H97" i="48"/>
  <c r="F97" i="48"/>
  <c r="H93" i="48"/>
  <c r="F93" i="48"/>
  <c r="H89" i="48"/>
  <c r="F89" i="48"/>
  <c r="H85" i="48"/>
  <c r="F85" i="48"/>
  <c r="H81" i="48"/>
  <c r="F81" i="48"/>
  <c r="H77" i="48"/>
  <c r="F77" i="48"/>
  <c r="H73" i="48"/>
  <c r="F73" i="48"/>
  <c r="H69" i="48"/>
  <c r="F69" i="48"/>
  <c r="H65" i="48"/>
  <c r="F65" i="48"/>
  <c r="H61" i="48"/>
  <c r="F61" i="48"/>
  <c r="H57" i="48"/>
  <c r="F57" i="48"/>
  <c r="H53" i="48"/>
  <c r="F53" i="48"/>
  <c r="H49" i="48"/>
  <c r="F49" i="48"/>
  <c r="H45" i="48"/>
  <c r="F45" i="48"/>
  <c r="H41" i="48"/>
  <c r="F41" i="48"/>
  <c r="H37" i="48"/>
  <c r="F37" i="48"/>
  <c r="H33" i="48"/>
  <c r="F33" i="48"/>
  <c r="H29" i="48"/>
  <c r="F29" i="48"/>
  <c r="H25" i="48"/>
  <c r="F25" i="48"/>
  <c r="H21" i="48"/>
  <c r="F21" i="48"/>
  <c r="H17" i="48"/>
  <c r="F17" i="48"/>
  <c r="H13" i="48"/>
  <c r="F13" i="48"/>
  <c r="V111" i="46"/>
  <c r="H105" i="46"/>
  <c r="F105" i="46"/>
  <c r="P104" i="46"/>
  <c r="R104" i="46" s="1"/>
  <c r="L104" i="46"/>
  <c r="N104" i="46" s="1"/>
  <c r="P103" i="46"/>
  <c r="R103" i="46" s="1"/>
  <c r="L103" i="46"/>
  <c r="N103" i="46" s="1"/>
  <c r="H101" i="46"/>
  <c r="F101" i="46"/>
  <c r="P100" i="46"/>
  <c r="R100" i="46" s="1"/>
  <c r="L100" i="46"/>
  <c r="N100" i="46" s="1"/>
  <c r="P99" i="46"/>
  <c r="R99" i="46" s="1"/>
  <c r="L99" i="46"/>
  <c r="H97" i="46"/>
  <c r="F97" i="46"/>
  <c r="P96" i="46"/>
  <c r="R96" i="46" s="1"/>
  <c r="L96" i="46"/>
  <c r="N96" i="46" s="1"/>
  <c r="P95" i="46"/>
  <c r="R95" i="46" s="1"/>
  <c r="L95" i="46"/>
  <c r="N95" i="46" s="1"/>
  <c r="H93" i="46"/>
  <c r="F93" i="46"/>
  <c r="P92" i="46"/>
  <c r="R92" i="46" s="1"/>
  <c r="L92" i="46"/>
  <c r="N92" i="46" s="1"/>
  <c r="P91" i="46"/>
  <c r="R91" i="46" s="1"/>
  <c r="L91" i="46"/>
  <c r="H89" i="46"/>
  <c r="F89" i="46"/>
  <c r="P88" i="46"/>
  <c r="R88" i="46" s="1"/>
  <c r="L88" i="46"/>
  <c r="N88" i="46" s="1"/>
  <c r="P87" i="46"/>
  <c r="R87" i="46" s="1"/>
  <c r="L87" i="46"/>
  <c r="H85" i="46"/>
  <c r="F85" i="46"/>
  <c r="P84" i="46"/>
  <c r="R84" i="46" s="1"/>
  <c r="L84" i="46"/>
  <c r="N84" i="46" s="1"/>
  <c r="P83" i="46"/>
  <c r="R83" i="46" s="1"/>
  <c r="L83" i="46"/>
  <c r="N83" i="46" s="1"/>
  <c r="H81" i="46"/>
  <c r="F81" i="46"/>
  <c r="P80" i="46"/>
  <c r="R80" i="46" s="1"/>
  <c r="L80" i="46"/>
  <c r="N80" i="46" s="1"/>
  <c r="P79" i="46"/>
  <c r="R79" i="46" s="1"/>
  <c r="L79" i="46"/>
  <c r="H77" i="46"/>
  <c r="F77" i="46"/>
  <c r="P76" i="46"/>
  <c r="R76" i="46" s="1"/>
  <c r="L76" i="46"/>
  <c r="N76" i="46" s="1"/>
  <c r="P75" i="46"/>
  <c r="R75" i="46" s="1"/>
  <c r="L75" i="46"/>
  <c r="H73" i="46"/>
  <c r="F73" i="46"/>
  <c r="P72" i="46"/>
  <c r="R72" i="46" s="1"/>
  <c r="L72" i="46"/>
  <c r="N72" i="46" s="1"/>
  <c r="P71" i="46"/>
  <c r="R71" i="46" s="1"/>
  <c r="L71" i="46"/>
  <c r="N71" i="46" s="1"/>
  <c r="H69" i="46"/>
  <c r="F69" i="46"/>
  <c r="P68" i="46"/>
  <c r="R68" i="46" s="1"/>
  <c r="L68" i="46"/>
  <c r="N68" i="46" s="1"/>
  <c r="P67" i="46"/>
  <c r="R67" i="46" s="1"/>
  <c r="L67" i="46"/>
  <c r="H65" i="46"/>
  <c r="F65" i="46"/>
  <c r="P64" i="46"/>
  <c r="R64" i="46" s="1"/>
  <c r="L64" i="46"/>
  <c r="N64" i="46" s="1"/>
  <c r="P63" i="46"/>
  <c r="R63" i="46" s="1"/>
  <c r="L63" i="46"/>
  <c r="H61" i="46"/>
  <c r="F61" i="46"/>
  <c r="P60" i="46"/>
  <c r="R60" i="46" s="1"/>
  <c r="L60" i="46"/>
  <c r="N60" i="46" s="1"/>
  <c r="P59" i="46"/>
  <c r="R59" i="46" s="1"/>
  <c r="L59" i="46"/>
  <c r="H57" i="46"/>
  <c r="F57" i="46"/>
  <c r="P56" i="46"/>
  <c r="R56" i="46" s="1"/>
  <c r="L56" i="46"/>
  <c r="N56" i="46" s="1"/>
  <c r="P55" i="46"/>
  <c r="R55" i="46" s="1"/>
  <c r="L55" i="46"/>
  <c r="N55" i="46" s="1"/>
  <c r="H53" i="46"/>
  <c r="F53" i="46"/>
  <c r="P52" i="46"/>
  <c r="R52" i="46" s="1"/>
  <c r="L52" i="46"/>
  <c r="N52" i="46" s="1"/>
  <c r="P51" i="46"/>
  <c r="R51" i="46" s="1"/>
  <c r="L51" i="46"/>
  <c r="N51" i="46" s="1"/>
  <c r="H49" i="46"/>
  <c r="F49" i="46"/>
  <c r="P48" i="46"/>
  <c r="R48" i="46" s="1"/>
  <c r="L48" i="46"/>
  <c r="N48" i="46" s="1"/>
  <c r="P47" i="46"/>
  <c r="R47" i="46" s="1"/>
  <c r="L47" i="46"/>
  <c r="N47" i="46" s="1"/>
  <c r="H45" i="46"/>
  <c r="F45" i="46"/>
  <c r="P44" i="46"/>
  <c r="R44" i="46" s="1"/>
  <c r="L44" i="46"/>
  <c r="N44" i="46" s="1"/>
  <c r="P43" i="46"/>
  <c r="R43" i="46" s="1"/>
  <c r="L43" i="46"/>
  <c r="H41" i="46"/>
  <c r="F41" i="46"/>
  <c r="P40" i="46"/>
  <c r="R40" i="46" s="1"/>
  <c r="L40" i="46"/>
  <c r="N40" i="46" s="1"/>
  <c r="P39" i="46"/>
  <c r="R39" i="46" s="1"/>
  <c r="L39" i="46"/>
  <c r="N39" i="46" s="1"/>
  <c r="H37" i="46"/>
  <c r="F37" i="46"/>
  <c r="P36" i="46"/>
  <c r="R36" i="46" s="1"/>
  <c r="L36" i="46"/>
  <c r="N36" i="46" s="1"/>
  <c r="P35" i="46"/>
  <c r="R35" i="46" s="1"/>
  <c r="L35" i="46"/>
  <c r="H33" i="46"/>
  <c r="F33" i="46"/>
  <c r="P32" i="46"/>
  <c r="R32" i="46" s="1"/>
  <c r="L32" i="46"/>
  <c r="N32" i="46" s="1"/>
  <c r="P31" i="46"/>
  <c r="R31" i="46" s="1"/>
  <c r="L31" i="46"/>
  <c r="H29" i="46"/>
  <c r="F29" i="46"/>
  <c r="P28" i="46"/>
  <c r="R28" i="46" s="1"/>
  <c r="L28" i="46"/>
  <c r="N28" i="46" s="1"/>
  <c r="P27" i="46"/>
  <c r="R27" i="46" s="1"/>
  <c r="L27" i="46"/>
  <c r="N27" i="46" s="1"/>
  <c r="H25" i="46"/>
  <c r="F25" i="46"/>
  <c r="P24" i="46"/>
  <c r="R24" i="46" s="1"/>
  <c r="L24" i="46"/>
  <c r="N24" i="46" s="1"/>
  <c r="P23" i="46"/>
  <c r="R23" i="46" s="1"/>
  <c r="L23" i="46"/>
  <c r="H21" i="46"/>
  <c r="F21" i="46"/>
  <c r="P20" i="46"/>
  <c r="R20" i="46" s="1"/>
  <c r="L20" i="46"/>
  <c r="N20" i="46" s="1"/>
  <c r="P19" i="46"/>
  <c r="R19" i="46" s="1"/>
  <c r="L19" i="46"/>
  <c r="N19" i="46" s="1"/>
  <c r="H17" i="46"/>
  <c r="F17" i="46"/>
  <c r="P16" i="46"/>
  <c r="R16" i="46" s="1"/>
  <c r="L16" i="46"/>
  <c r="N16" i="46" s="1"/>
  <c r="P15" i="46"/>
  <c r="R15" i="46" s="1"/>
  <c r="L15" i="46"/>
  <c r="P12" i="46"/>
  <c r="R12" i="46" s="1"/>
  <c r="P11" i="46"/>
  <c r="R11" i="46" s="1"/>
  <c r="H13" i="46"/>
  <c r="F13" i="46"/>
  <c r="L12" i="46"/>
  <c r="N12" i="46" s="1"/>
  <c r="P12" i="48" l="1"/>
  <c r="P11" i="48"/>
  <c r="P13" i="48" s="1"/>
  <c r="P16" i="48"/>
  <c r="P15" i="48"/>
  <c r="P17" i="48" s="1"/>
  <c r="P20" i="48"/>
  <c r="P19" i="48"/>
  <c r="P21" i="48" s="1"/>
  <c r="P24" i="48"/>
  <c r="P23" i="48"/>
  <c r="P25" i="48" s="1"/>
  <c r="P28" i="48"/>
  <c r="P27" i="48"/>
  <c r="P29" i="48" s="1"/>
  <c r="P32" i="48"/>
  <c r="P31" i="48"/>
  <c r="P33" i="48" s="1"/>
  <c r="P36" i="48"/>
  <c r="P35" i="48"/>
  <c r="P37" i="48" s="1"/>
  <c r="P40" i="48"/>
  <c r="P39" i="48"/>
  <c r="P41" i="48" s="1"/>
  <c r="P44" i="48"/>
  <c r="P43" i="48"/>
  <c r="P45" i="48" s="1"/>
  <c r="P48" i="48"/>
  <c r="P47" i="48"/>
  <c r="P49" i="48" s="1"/>
  <c r="P52" i="48"/>
  <c r="P51" i="48"/>
  <c r="P53" i="48" s="1"/>
  <c r="P55" i="48"/>
  <c r="P56" i="48"/>
  <c r="P59" i="48"/>
  <c r="P60" i="48"/>
  <c r="P64" i="48"/>
  <c r="P63" i="48"/>
  <c r="P65" i="48" s="1"/>
  <c r="P68" i="48"/>
  <c r="P67" i="48"/>
  <c r="P69" i="48" s="1"/>
  <c r="P72" i="48"/>
  <c r="P71" i="48"/>
  <c r="P73" i="48" s="1"/>
  <c r="P76" i="48"/>
  <c r="P75" i="48"/>
  <c r="P77" i="48" s="1"/>
  <c r="P79" i="48"/>
  <c r="P80" i="48"/>
  <c r="P83" i="48"/>
  <c r="P84" i="48"/>
  <c r="P88" i="48"/>
  <c r="P87" i="48"/>
  <c r="P89" i="48" s="1"/>
  <c r="P91" i="48"/>
  <c r="P92" i="48"/>
  <c r="P96" i="48"/>
  <c r="P95" i="48"/>
  <c r="P97" i="48" s="1"/>
  <c r="P100" i="48"/>
  <c r="P99" i="48"/>
  <c r="P101" i="48" s="1"/>
  <c r="P104" i="48"/>
  <c r="P103" i="48"/>
  <c r="P105" i="48" s="1"/>
  <c r="J26" i="49"/>
  <c r="J27" i="49"/>
  <c r="R104" i="48"/>
  <c r="T104" i="48" s="1"/>
  <c r="V104" i="48" s="1"/>
  <c r="X104" i="48" s="1"/>
  <c r="R100" i="48"/>
  <c r="T100" i="48" s="1"/>
  <c r="V100" i="48" s="1"/>
  <c r="X100" i="48" s="1"/>
  <c r="R96" i="48"/>
  <c r="T96" i="48" s="1"/>
  <c r="V96" i="48" s="1"/>
  <c r="X96" i="48" s="1"/>
  <c r="R91" i="48"/>
  <c r="T91" i="48" s="1"/>
  <c r="R92" i="48"/>
  <c r="T92" i="48" s="1"/>
  <c r="V92" i="48" s="1"/>
  <c r="X92" i="48" s="1"/>
  <c r="R88" i="48"/>
  <c r="T88" i="48" s="1"/>
  <c r="V88" i="48" s="1"/>
  <c r="X88" i="48" s="1"/>
  <c r="R83" i="48"/>
  <c r="T83" i="48" s="1"/>
  <c r="R84" i="48"/>
  <c r="T84" i="48" s="1"/>
  <c r="V84" i="48" s="1"/>
  <c r="X84" i="48" s="1"/>
  <c r="R79" i="48"/>
  <c r="T79" i="48" s="1"/>
  <c r="R80" i="48"/>
  <c r="T80" i="48" s="1"/>
  <c r="V80" i="48" s="1"/>
  <c r="X80" i="48" s="1"/>
  <c r="R76" i="48"/>
  <c r="T76" i="48" s="1"/>
  <c r="V76" i="48" s="1"/>
  <c r="X76" i="48" s="1"/>
  <c r="R72" i="48"/>
  <c r="T72" i="48" s="1"/>
  <c r="V72" i="48" s="1"/>
  <c r="X72" i="48" s="1"/>
  <c r="R68" i="48"/>
  <c r="T68" i="48" s="1"/>
  <c r="V68" i="48" s="1"/>
  <c r="X68" i="48" s="1"/>
  <c r="R64" i="48"/>
  <c r="T64" i="48" s="1"/>
  <c r="V64" i="48" s="1"/>
  <c r="X64" i="48" s="1"/>
  <c r="R59" i="48"/>
  <c r="T59" i="48" s="1"/>
  <c r="R60" i="48"/>
  <c r="T60" i="48" s="1"/>
  <c r="V60" i="48" s="1"/>
  <c r="X60" i="48" s="1"/>
  <c r="R55" i="48"/>
  <c r="T55" i="48" s="1"/>
  <c r="R56" i="48"/>
  <c r="T56" i="48" s="1"/>
  <c r="V56" i="48" s="1"/>
  <c r="X56" i="48" s="1"/>
  <c r="R52" i="48"/>
  <c r="T52" i="48" s="1"/>
  <c r="V52" i="48" s="1"/>
  <c r="X52" i="48" s="1"/>
  <c r="R44" i="48"/>
  <c r="T44" i="48" s="1"/>
  <c r="V44" i="48" s="1"/>
  <c r="X44" i="48" s="1"/>
  <c r="R40" i="48"/>
  <c r="T40" i="48" s="1"/>
  <c r="V40" i="48" s="1"/>
  <c r="X40" i="48" s="1"/>
  <c r="R35" i="48"/>
  <c r="T35" i="48" s="1"/>
  <c r="R36" i="48"/>
  <c r="T36" i="48" s="1"/>
  <c r="V36" i="48" s="1"/>
  <c r="X36" i="48" s="1"/>
  <c r="R31" i="48"/>
  <c r="T31" i="48" s="1"/>
  <c r="R32" i="48"/>
  <c r="T32" i="48" s="1"/>
  <c r="V32" i="48" s="1"/>
  <c r="X32" i="48" s="1"/>
  <c r="R27" i="48"/>
  <c r="T27" i="48" s="1"/>
  <c r="R28" i="48"/>
  <c r="T28" i="48" s="1"/>
  <c r="V28" i="48" s="1"/>
  <c r="X28" i="48" s="1"/>
  <c r="R23" i="48"/>
  <c r="T23" i="48" s="1"/>
  <c r="R24" i="48"/>
  <c r="T24" i="48" s="1"/>
  <c r="V24" i="48" s="1"/>
  <c r="X24" i="48" s="1"/>
  <c r="R19" i="48"/>
  <c r="T19" i="48" s="1"/>
  <c r="R20" i="48"/>
  <c r="T20" i="48" s="1"/>
  <c r="V20" i="48" s="1"/>
  <c r="X20" i="48" s="1"/>
  <c r="R15" i="48"/>
  <c r="T15" i="48" s="1"/>
  <c r="R16" i="48"/>
  <c r="T16" i="48" s="1"/>
  <c r="V16" i="48" s="1"/>
  <c r="X16" i="48" s="1"/>
  <c r="R11" i="48"/>
  <c r="T11" i="48" s="1"/>
  <c r="R12" i="48"/>
  <c r="T12" i="48" s="1"/>
  <c r="V12" i="48" s="1"/>
  <c r="X12" i="48" s="1"/>
  <c r="R48" i="48"/>
  <c r="N49" i="48"/>
  <c r="L89" i="46"/>
  <c r="L65" i="46"/>
  <c r="L61" i="46"/>
  <c r="V72" i="46"/>
  <c r="V96" i="46"/>
  <c r="L25" i="46"/>
  <c r="L69" i="46"/>
  <c r="L93" i="46"/>
  <c r="V52" i="46"/>
  <c r="L45" i="46"/>
  <c r="V28" i="46"/>
  <c r="V104" i="46"/>
  <c r="T104" i="46"/>
  <c r="V103" i="46"/>
  <c r="T103" i="46"/>
  <c r="R105" i="46"/>
  <c r="T105" i="46" s="1"/>
  <c r="L105" i="46"/>
  <c r="V40" i="46"/>
  <c r="V56" i="46"/>
  <c r="V84" i="46"/>
  <c r="L33" i="46"/>
  <c r="L37" i="46"/>
  <c r="L77" i="46"/>
  <c r="L81" i="46"/>
  <c r="L101" i="46"/>
  <c r="V15" i="46"/>
  <c r="V35" i="46"/>
  <c r="V63" i="46"/>
  <c r="V67" i="46"/>
  <c r="V75" i="46"/>
  <c r="V79" i="46"/>
  <c r="V87" i="46"/>
  <c r="V91" i="46"/>
  <c r="V99" i="46"/>
  <c r="V23" i="46"/>
  <c r="V31" i="46"/>
  <c r="V43" i="46"/>
  <c r="V47" i="46"/>
  <c r="V59" i="46"/>
  <c r="V19" i="46"/>
  <c r="T92" i="46"/>
  <c r="V92" i="46"/>
  <c r="T100" i="46"/>
  <c r="V100" i="46"/>
  <c r="T95" i="46"/>
  <c r="R97" i="46"/>
  <c r="T97" i="46" s="1"/>
  <c r="V95" i="46"/>
  <c r="R93" i="46"/>
  <c r="T93" i="46" s="1"/>
  <c r="R101" i="46"/>
  <c r="T101" i="46" s="1"/>
  <c r="T91" i="46"/>
  <c r="T96" i="46"/>
  <c r="L97" i="46"/>
  <c r="T99" i="46"/>
  <c r="N91" i="46"/>
  <c r="N99" i="46"/>
  <c r="T80" i="46"/>
  <c r="V80" i="46"/>
  <c r="T88" i="46"/>
  <c r="V88" i="46"/>
  <c r="T83" i="46"/>
  <c r="R85" i="46"/>
  <c r="T85" i="46" s="1"/>
  <c r="V83" i="46"/>
  <c r="R81" i="46"/>
  <c r="T81" i="46" s="1"/>
  <c r="R89" i="46"/>
  <c r="T89" i="46" s="1"/>
  <c r="T79" i="46"/>
  <c r="T84" i="46"/>
  <c r="L85" i="46"/>
  <c r="T87" i="46"/>
  <c r="N79" i="46"/>
  <c r="N87" i="46"/>
  <c r="T68" i="46"/>
  <c r="V68" i="46"/>
  <c r="T76" i="46"/>
  <c r="V76" i="46"/>
  <c r="T71" i="46"/>
  <c r="R73" i="46"/>
  <c r="T73" i="46" s="1"/>
  <c r="V71" i="46"/>
  <c r="R69" i="46"/>
  <c r="T69" i="46" s="1"/>
  <c r="R77" i="46"/>
  <c r="T77" i="46" s="1"/>
  <c r="T67" i="46"/>
  <c r="T72" i="46"/>
  <c r="L73" i="46"/>
  <c r="T75" i="46"/>
  <c r="N67" i="46"/>
  <c r="N75" i="46"/>
  <c r="T64" i="46"/>
  <c r="V64" i="46"/>
  <c r="R65" i="46"/>
  <c r="T65" i="46" s="1"/>
  <c r="T63" i="46"/>
  <c r="N63" i="46"/>
  <c r="T60" i="46"/>
  <c r="V60" i="46"/>
  <c r="T55" i="46"/>
  <c r="R57" i="46"/>
  <c r="T57" i="46" s="1"/>
  <c r="V55" i="46"/>
  <c r="V57" i="46" s="1"/>
  <c r="R61" i="46"/>
  <c r="T61" i="46" s="1"/>
  <c r="T56" i="46"/>
  <c r="L57" i="46"/>
  <c r="T59" i="46"/>
  <c r="N59" i="46"/>
  <c r="T48" i="46"/>
  <c r="V48" i="46"/>
  <c r="R53" i="46"/>
  <c r="T53" i="46" s="1"/>
  <c r="T51" i="46"/>
  <c r="V51" i="46"/>
  <c r="V53" i="46" s="1"/>
  <c r="T47" i="46"/>
  <c r="T52" i="46"/>
  <c r="L49" i="46"/>
  <c r="R49" i="46"/>
  <c r="T49" i="46" s="1"/>
  <c r="L53" i="46"/>
  <c r="T36" i="46"/>
  <c r="V36" i="46"/>
  <c r="T44" i="46"/>
  <c r="V44" i="46"/>
  <c r="T39" i="46"/>
  <c r="R41" i="46"/>
  <c r="T41" i="46" s="1"/>
  <c r="V39" i="46"/>
  <c r="R37" i="46"/>
  <c r="T37" i="46" s="1"/>
  <c r="R45" i="46"/>
  <c r="T45" i="46" s="1"/>
  <c r="T35" i="46"/>
  <c r="T40" i="46"/>
  <c r="L41" i="46"/>
  <c r="T43" i="46"/>
  <c r="N35" i="46"/>
  <c r="N43" i="46"/>
  <c r="T24" i="46"/>
  <c r="V24" i="46"/>
  <c r="T32" i="46"/>
  <c r="V32" i="46"/>
  <c r="T27" i="46"/>
  <c r="R29" i="46"/>
  <c r="T29" i="46" s="1"/>
  <c r="V27" i="46"/>
  <c r="R25" i="46"/>
  <c r="T25" i="46" s="1"/>
  <c r="R33" i="46"/>
  <c r="T33" i="46" s="1"/>
  <c r="T23" i="46"/>
  <c r="T28" i="46"/>
  <c r="L29" i="46"/>
  <c r="T31" i="46"/>
  <c r="N23" i="46"/>
  <c r="N31" i="46"/>
  <c r="L17" i="46"/>
  <c r="V20" i="46"/>
  <c r="T20" i="46"/>
  <c r="R21" i="46"/>
  <c r="T21" i="46" s="1"/>
  <c r="T19" i="46"/>
  <c r="L21" i="46"/>
  <c r="T16" i="46"/>
  <c r="V16" i="46"/>
  <c r="R17" i="46"/>
  <c r="T17" i="46" s="1"/>
  <c r="T15" i="46"/>
  <c r="N15" i="46"/>
  <c r="T12" i="46"/>
  <c r="V12" i="46"/>
  <c r="R13" i="46"/>
  <c r="T13" i="46" s="1"/>
  <c r="T11" i="46"/>
  <c r="L11" i="46"/>
  <c r="V11" i="46" s="1"/>
  <c r="T48" i="48" l="1"/>
  <c r="V48" i="48" s="1"/>
  <c r="X48" i="48" s="1"/>
  <c r="V93" i="46"/>
  <c r="R47" i="48"/>
  <c r="T47" i="48" s="1"/>
  <c r="V47" i="48" s="1"/>
  <c r="R39" i="48"/>
  <c r="T39" i="48" s="1"/>
  <c r="R43" i="48"/>
  <c r="T43" i="48" s="1"/>
  <c r="V43" i="48" s="1"/>
  <c r="R51" i="48"/>
  <c r="T51" i="48" s="1"/>
  <c r="R63" i="48"/>
  <c r="T63" i="48" s="1"/>
  <c r="T65" i="48" s="1"/>
  <c r="R67" i="48"/>
  <c r="T67" i="48" s="1"/>
  <c r="R71" i="48"/>
  <c r="T71" i="48" s="1"/>
  <c r="V71" i="48" s="1"/>
  <c r="R75" i="48"/>
  <c r="T75" i="48" s="1"/>
  <c r="R87" i="48"/>
  <c r="T87" i="48" s="1"/>
  <c r="V87" i="48" s="1"/>
  <c r="R95" i="48"/>
  <c r="T95" i="48" s="1"/>
  <c r="R99" i="48"/>
  <c r="T99" i="48" s="1"/>
  <c r="V99" i="48" s="1"/>
  <c r="R103" i="48"/>
  <c r="T103" i="48" s="1"/>
  <c r="P93" i="48"/>
  <c r="P85" i="48"/>
  <c r="P81" i="48"/>
  <c r="P61" i="48"/>
  <c r="P57" i="48"/>
  <c r="J29" i="49"/>
  <c r="N29" i="49"/>
  <c r="T105" i="48"/>
  <c r="V103" i="48"/>
  <c r="T101" i="48"/>
  <c r="V95" i="48"/>
  <c r="T97" i="48"/>
  <c r="V91" i="48"/>
  <c r="T93" i="48"/>
  <c r="T89" i="48"/>
  <c r="V83" i="48"/>
  <c r="T85" i="48"/>
  <c r="V79" i="48"/>
  <c r="T81" i="48"/>
  <c r="V75" i="48"/>
  <c r="T77" i="48"/>
  <c r="T73" i="48"/>
  <c r="T69" i="48"/>
  <c r="V67" i="48"/>
  <c r="V63" i="48"/>
  <c r="V59" i="48"/>
  <c r="T61" i="48"/>
  <c r="V55" i="48"/>
  <c r="T57" i="48"/>
  <c r="V51" i="48"/>
  <c r="T53" i="48"/>
  <c r="T45" i="48"/>
  <c r="V39" i="48"/>
  <c r="T41" i="48"/>
  <c r="V35" i="48"/>
  <c r="T37" i="48"/>
  <c r="V31" i="48"/>
  <c r="T33" i="48"/>
  <c r="T29" i="48"/>
  <c r="V27" i="48"/>
  <c r="V23" i="48"/>
  <c r="T25" i="48"/>
  <c r="T21" i="48"/>
  <c r="V19" i="48"/>
  <c r="V15" i="48"/>
  <c r="T17" i="48"/>
  <c r="V11" i="48"/>
  <c r="T13" i="48"/>
  <c r="V29" i="46"/>
  <c r="V17" i="46"/>
  <c r="V69" i="46"/>
  <c r="V41" i="46"/>
  <c r="V97" i="46"/>
  <c r="V13" i="46"/>
  <c r="V89" i="46"/>
  <c r="V33" i="46"/>
  <c r="V73" i="46"/>
  <c r="V85" i="46"/>
  <c r="V101" i="46"/>
  <c r="V77" i="46"/>
  <c r="V105" i="46"/>
  <c r="V45" i="46"/>
  <c r="V21" i="46"/>
  <c r="V61" i="46"/>
  <c r="V37" i="46"/>
  <c r="V65" i="46"/>
  <c r="V81" i="46"/>
  <c r="V49" i="46"/>
  <c r="V25" i="46"/>
  <c r="N11" i="46"/>
  <c r="L13" i="46"/>
  <c r="I16" i="34"/>
  <c r="I32" i="45"/>
  <c r="I36" i="45" s="1"/>
  <c r="I40" i="45" s="1"/>
  <c r="I42" i="45" s="1"/>
  <c r="I46" i="45" s="1"/>
  <c r="G32" i="45"/>
  <c r="G36" i="45" s="1"/>
  <c r="I12" i="45"/>
  <c r="I16" i="45" s="1"/>
  <c r="G12" i="45"/>
  <c r="G16" i="45" s="1"/>
  <c r="J14" i="44"/>
  <c r="J16" i="44" s="1"/>
  <c r="J21" i="44" s="1"/>
  <c r="H14" i="44"/>
  <c r="H16" i="44" s="1"/>
  <c r="H21" i="44" s="1"/>
  <c r="B31" i="3"/>
  <c r="B30" i="3"/>
  <c r="B29" i="3"/>
  <c r="B28" i="3"/>
  <c r="B27" i="3"/>
  <c r="B26" i="3"/>
  <c r="B25" i="3"/>
  <c r="B24" i="3"/>
  <c r="B32" i="34"/>
  <c r="B31" i="34"/>
  <c r="B30" i="34"/>
  <c r="B29" i="34"/>
  <c r="B28" i="34"/>
  <c r="B27" i="34"/>
  <c r="B26" i="34"/>
  <c r="B25" i="34"/>
  <c r="D13" i="35"/>
  <c r="E14" i="24" s="1"/>
  <c r="C14" i="24"/>
  <c r="B23" i="3"/>
  <c r="H26" i="23"/>
  <c r="H30" i="23" s="1"/>
  <c r="H14" i="23"/>
  <c r="H18" i="23" s="1"/>
  <c r="J14" i="23"/>
  <c r="J18" i="23" s="1"/>
  <c r="J26" i="23"/>
  <c r="J30" i="23" s="1"/>
  <c r="H25" i="44" l="1"/>
  <c r="I15" i="3"/>
  <c r="X47" i="48"/>
  <c r="X49" i="48" s="1"/>
  <c r="V49" i="48"/>
  <c r="T49" i="48"/>
  <c r="V105" i="48"/>
  <c r="X103" i="48"/>
  <c r="X105" i="48" s="1"/>
  <c r="X99" i="48"/>
  <c r="X101" i="48" s="1"/>
  <c r="V101" i="48"/>
  <c r="V97" i="48"/>
  <c r="X95" i="48"/>
  <c r="X97" i="48" s="1"/>
  <c r="V93" i="48"/>
  <c r="X91" i="48"/>
  <c r="X93" i="48" s="1"/>
  <c r="X87" i="48"/>
  <c r="X89" i="48" s="1"/>
  <c r="V89" i="48"/>
  <c r="X83" i="48"/>
  <c r="X85" i="48" s="1"/>
  <c r="V85" i="48"/>
  <c r="V81" i="48"/>
  <c r="X79" i="48"/>
  <c r="X81" i="48" s="1"/>
  <c r="V77" i="48"/>
  <c r="X75" i="48"/>
  <c r="X77" i="48" s="1"/>
  <c r="X71" i="48"/>
  <c r="X73" i="48" s="1"/>
  <c r="V73" i="48"/>
  <c r="X67" i="48"/>
  <c r="X69" i="48" s="1"/>
  <c r="V69" i="48"/>
  <c r="X63" i="48"/>
  <c r="X65" i="48" s="1"/>
  <c r="V65" i="48"/>
  <c r="X59" i="48"/>
  <c r="X61" i="48" s="1"/>
  <c r="V61" i="48"/>
  <c r="X55" i="48"/>
  <c r="X57" i="48" s="1"/>
  <c r="V57" i="48"/>
  <c r="V53" i="48"/>
  <c r="X51" i="48"/>
  <c r="X53" i="48" s="1"/>
  <c r="V45" i="48"/>
  <c r="X43" i="48"/>
  <c r="X45" i="48" s="1"/>
  <c r="V41" i="48"/>
  <c r="X39" i="48"/>
  <c r="X41" i="48" s="1"/>
  <c r="V37" i="48"/>
  <c r="X35" i="48"/>
  <c r="X37" i="48" s="1"/>
  <c r="V33" i="48"/>
  <c r="X31" i="48"/>
  <c r="X33" i="48" s="1"/>
  <c r="V29" i="48"/>
  <c r="X27" i="48"/>
  <c r="X29" i="48" s="1"/>
  <c r="X23" i="48"/>
  <c r="X25" i="48" s="1"/>
  <c r="V25" i="48"/>
  <c r="V21" i="48"/>
  <c r="X19" i="48"/>
  <c r="X21" i="48" s="1"/>
  <c r="X15" i="48"/>
  <c r="X17" i="48" s="1"/>
  <c r="V17" i="48"/>
  <c r="X11" i="48"/>
  <c r="X13" i="48" s="1"/>
  <c r="V13" i="48"/>
  <c r="V109" i="46"/>
  <c r="V113" i="46" s="1"/>
  <c r="G40" i="45"/>
  <c r="G42" i="45" s="1"/>
  <c r="G46" i="45" s="1"/>
  <c r="I20" i="45"/>
  <c r="I22" i="45" s="1"/>
  <c r="I26" i="45" s="1"/>
  <c r="I48" i="45" s="1"/>
  <c r="G20" i="45"/>
  <c r="G22" i="45" s="1"/>
  <c r="G26" i="45" s="1"/>
  <c r="J25" i="44"/>
  <c r="J33" i="23"/>
  <c r="I18" i="34" s="1"/>
  <c r="H33" i="23"/>
  <c r="I17" i="3" s="1"/>
  <c r="I17" i="34" l="1"/>
  <c r="I52" i="45"/>
  <c r="D14" i="35" s="1"/>
  <c r="E15" i="24" s="1"/>
  <c r="G48" i="45"/>
  <c r="I16" i="3" s="1"/>
  <c r="G52" i="45"/>
  <c r="C15" i="24" s="1"/>
  <c r="X109" i="48"/>
  <c r="X113" i="48" s="1"/>
  <c r="T117" i="48" s="1"/>
  <c r="T118" i="48" s="1"/>
  <c r="T119" i="48" s="1"/>
  <c r="R117" i="46"/>
  <c r="R118" i="46" s="1"/>
  <c r="R119" i="46" s="1"/>
  <c r="N117" i="46"/>
  <c r="J36" i="23"/>
  <c r="H36" i="23"/>
  <c r="C16" i="24" s="1"/>
  <c r="P117" i="48" l="1"/>
  <c r="P118" i="48" s="1"/>
  <c r="P119" i="48" s="1"/>
  <c r="P121" i="48" s="1"/>
  <c r="N118" i="46"/>
  <c r="N119" i="46" s="1"/>
  <c r="D15" i="35"/>
  <c r="E16" i="24" s="1"/>
  <c r="I15" i="34"/>
  <c r="T121" i="48" l="1"/>
  <c r="R121" i="46"/>
  <c r="N121" i="46"/>
  <c r="E56" i="43"/>
  <c r="B56" i="43"/>
  <c r="H16" i="43" l="1"/>
  <c r="H20" i="43" s="1"/>
  <c r="H24" i="43" s="1"/>
  <c r="I13" i="3" s="1"/>
  <c r="J12" i="43"/>
  <c r="J16" i="43" s="1"/>
  <c r="J20" i="43" s="1"/>
  <c r="J24" i="43" s="1"/>
  <c r="I14" i="34" s="1"/>
  <c r="H12" i="43"/>
  <c r="B37" i="43" s="1"/>
  <c r="B38" i="43" l="1"/>
  <c r="B39" i="43" l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E37" i="43" s="1"/>
  <c r="C24" i="24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B18" i="42"/>
  <c r="C17" i="42"/>
  <c r="E32" i="44" l="1"/>
  <c r="E43" i="23"/>
  <c r="E59" i="45"/>
  <c r="E38" i="43"/>
  <c r="E39" i="43" s="1"/>
  <c r="E40" i="43" s="1"/>
  <c r="E41" i="43" s="1"/>
  <c r="E42" i="43" s="1"/>
  <c r="E43" i="43" s="1"/>
  <c r="E44" i="43" s="1"/>
  <c r="E45" i="43" s="1"/>
  <c r="E46" i="43" s="1"/>
  <c r="E47" i="43" s="1"/>
  <c r="E48" i="43" s="1"/>
  <c r="E49" i="43" s="1"/>
  <c r="B51" i="43"/>
  <c r="H28" i="43" s="1"/>
  <c r="C18" i="24" s="1"/>
  <c r="B19" i="42"/>
  <c r="D64" i="42"/>
  <c r="G64" i="42" s="1"/>
  <c r="D22" i="42"/>
  <c r="E22" i="42" s="1"/>
  <c r="D18" i="42"/>
  <c r="E18" i="42" s="1"/>
  <c r="D26" i="42"/>
  <c r="D24" i="42"/>
  <c r="D20" i="42"/>
  <c r="D28" i="42"/>
  <c r="D29" i="42"/>
  <c r="D31" i="42"/>
  <c r="D33" i="42"/>
  <c r="D35" i="42"/>
  <c r="D37" i="42"/>
  <c r="D39" i="42"/>
  <c r="D42" i="42"/>
  <c r="D44" i="42"/>
  <c r="D46" i="42"/>
  <c r="D48" i="42"/>
  <c r="D50" i="42"/>
  <c r="D52" i="42"/>
  <c r="D53" i="42"/>
  <c r="D55" i="42"/>
  <c r="D57" i="42"/>
  <c r="D59" i="42"/>
  <c r="D61" i="42"/>
  <c r="D63" i="42"/>
  <c r="D17" i="42"/>
  <c r="D19" i="42"/>
  <c r="D21" i="42"/>
  <c r="D23" i="42"/>
  <c r="D25" i="42"/>
  <c r="D27" i="42"/>
  <c r="D30" i="42"/>
  <c r="D32" i="42"/>
  <c r="D34" i="42"/>
  <c r="D36" i="42"/>
  <c r="D38" i="42"/>
  <c r="D40" i="42"/>
  <c r="D41" i="42"/>
  <c r="D43" i="42"/>
  <c r="D45" i="42"/>
  <c r="D47" i="42"/>
  <c r="D49" i="42"/>
  <c r="D51" i="42"/>
  <c r="D54" i="42"/>
  <c r="D56" i="42"/>
  <c r="D58" i="42"/>
  <c r="D60" i="42"/>
  <c r="D62" i="42"/>
  <c r="G18" i="42" l="1"/>
  <c r="H18" i="42" s="1"/>
  <c r="E51" i="43"/>
  <c r="J28" i="43" s="1"/>
  <c r="D17" i="35" s="1"/>
  <c r="E18" i="24" s="1"/>
  <c r="G22" i="42"/>
  <c r="B20" i="42"/>
  <c r="E64" i="42"/>
  <c r="G62" i="42"/>
  <c r="E62" i="42"/>
  <c r="G45" i="42"/>
  <c r="E45" i="42"/>
  <c r="G30" i="42"/>
  <c r="E30" i="42"/>
  <c r="G21" i="42"/>
  <c r="E21" i="42"/>
  <c r="E53" i="42"/>
  <c r="G53" i="42"/>
  <c r="E37" i="42"/>
  <c r="G37" i="42"/>
  <c r="E26" i="42"/>
  <c r="G26" i="42"/>
  <c r="G60" i="42"/>
  <c r="E60" i="42"/>
  <c r="G43" i="42"/>
  <c r="E43" i="42"/>
  <c r="E59" i="42"/>
  <c r="G59" i="42"/>
  <c r="E44" i="42"/>
  <c r="G44" i="42"/>
  <c r="G56" i="42"/>
  <c r="E56" i="42"/>
  <c r="G47" i="42"/>
  <c r="E47" i="42"/>
  <c r="G40" i="42"/>
  <c r="E40" i="42"/>
  <c r="G32" i="42"/>
  <c r="E32" i="42"/>
  <c r="G23" i="42"/>
  <c r="E23" i="42"/>
  <c r="E63" i="42"/>
  <c r="G63" i="42"/>
  <c r="E55" i="42"/>
  <c r="G55" i="42"/>
  <c r="E48" i="42"/>
  <c r="G48" i="42"/>
  <c r="E39" i="42"/>
  <c r="G39" i="42"/>
  <c r="E31" i="42"/>
  <c r="G31" i="42"/>
  <c r="E24" i="42"/>
  <c r="G24" i="42"/>
  <c r="G54" i="42"/>
  <c r="E54" i="42"/>
  <c r="G38" i="42"/>
  <c r="E38" i="42"/>
  <c r="E61" i="42"/>
  <c r="G61" i="42"/>
  <c r="E46" i="42"/>
  <c r="G46" i="42"/>
  <c r="E29" i="42"/>
  <c r="G29" i="42"/>
  <c r="G51" i="42"/>
  <c r="E51" i="42"/>
  <c r="G36" i="42"/>
  <c r="E36" i="42"/>
  <c r="G27" i="42"/>
  <c r="E27" i="42"/>
  <c r="G19" i="42"/>
  <c r="H19" i="42" s="1"/>
  <c r="E19" i="42"/>
  <c r="E52" i="42"/>
  <c r="G52" i="42"/>
  <c r="E35" i="42"/>
  <c r="G35" i="42"/>
  <c r="E28" i="42"/>
  <c r="G28" i="42"/>
  <c r="G58" i="42"/>
  <c r="E58" i="42"/>
  <c r="G49" i="42"/>
  <c r="E49" i="42"/>
  <c r="G41" i="42"/>
  <c r="E41" i="42"/>
  <c r="G34" i="42"/>
  <c r="E34" i="42"/>
  <c r="G25" i="42"/>
  <c r="E25" i="42"/>
  <c r="G17" i="42"/>
  <c r="H17" i="42" s="1"/>
  <c r="E17" i="42"/>
  <c r="E57" i="42"/>
  <c r="G57" i="42"/>
  <c r="E50" i="42"/>
  <c r="G50" i="42"/>
  <c r="E42" i="42"/>
  <c r="G42" i="42"/>
  <c r="E33" i="42"/>
  <c r="G33" i="42"/>
  <c r="E20" i="42"/>
  <c r="G20" i="42"/>
  <c r="B21" i="42" l="1"/>
  <c r="H20" i="42"/>
  <c r="F22" i="42"/>
  <c r="F19" i="42"/>
  <c r="F20" i="42"/>
  <c r="F64" i="42"/>
  <c r="F42" i="42"/>
  <c r="F57" i="42"/>
  <c r="F36" i="42"/>
  <c r="F17" i="42"/>
  <c r="F49" i="42"/>
  <c r="F35" i="42"/>
  <c r="F29" i="42"/>
  <c r="F48" i="42"/>
  <c r="F63" i="42"/>
  <c r="F43" i="42"/>
  <c r="F30" i="42"/>
  <c r="F62" i="42"/>
  <c r="F33" i="42"/>
  <c r="F50" i="42"/>
  <c r="G65" i="42"/>
  <c r="F18" i="42"/>
  <c r="F27" i="42"/>
  <c r="F51" i="42"/>
  <c r="F38" i="42"/>
  <c r="F23" i="42"/>
  <c r="F40" i="42"/>
  <c r="F56" i="42"/>
  <c r="F44" i="42"/>
  <c r="F26" i="42"/>
  <c r="F53" i="42"/>
  <c r="F25" i="42"/>
  <c r="F41" i="42"/>
  <c r="F58" i="42"/>
  <c r="F28" i="42"/>
  <c r="F52" i="42"/>
  <c r="F46" i="42"/>
  <c r="F24" i="42"/>
  <c r="F39" i="42"/>
  <c r="F55" i="42"/>
  <c r="F60" i="42"/>
  <c r="F21" i="42"/>
  <c r="F45" i="42"/>
  <c r="F54" i="42"/>
  <c r="F32" i="42"/>
  <c r="F47" i="42"/>
  <c r="F59" i="42"/>
  <c r="F37" i="42"/>
  <c r="F34" i="42"/>
  <c r="F61" i="42"/>
  <c r="F31" i="42"/>
  <c r="B22" i="42" l="1"/>
  <c r="H21" i="42"/>
  <c r="B23" i="42" l="1"/>
  <c r="H22" i="42"/>
  <c r="I12" i="3"/>
  <c r="J13" i="22"/>
  <c r="J17" i="22" s="1"/>
  <c r="I13" i="34" s="1"/>
  <c r="H13" i="22"/>
  <c r="H17" i="22" s="1"/>
  <c r="I12" i="34"/>
  <c r="B31" i="22" l="1"/>
  <c r="B24" i="42"/>
  <c r="H23" i="42"/>
  <c r="B32" i="22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E30" i="22" s="1"/>
  <c r="C20" i="24"/>
  <c r="H74" i="36"/>
  <c r="R49" i="36"/>
  <c r="R49" i="1"/>
  <c r="D20" i="35"/>
  <c r="E20" i="24" s="1"/>
  <c r="B25" i="42" l="1"/>
  <c r="H24" i="42"/>
  <c r="E31" i="22"/>
  <c r="E32" i="22" s="1"/>
  <c r="E33" i="22" s="1"/>
  <c r="E34" i="22" s="1"/>
  <c r="E35" i="22" s="1"/>
  <c r="E36" i="22" s="1"/>
  <c r="E37" i="22" s="1"/>
  <c r="E38" i="22" s="1"/>
  <c r="E39" i="22" s="1"/>
  <c r="E40" i="22" s="1"/>
  <c r="E41" i="22" s="1"/>
  <c r="E42" i="22" s="1"/>
  <c r="E44" i="22"/>
  <c r="J21" i="22" s="1"/>
  <c r="D16" i="35" s="1"/>
  <c r="E17" i="24" s="1"/>
  <c r="B44" i="22"/>
  <c r="D19" i="35"/>
  <c r="E19" i="24" s="1"/>
  <c r="E22" i="24" l="1"/>
  <c r="B26" i="42"/>
  <c r="H25" i="42"/>
  <c r="H21" i="22"/>
  <c r="C17" i="24" s="1"/>
  <c r="C22" i="24" s="1"/>
  <c r="E137" i="36"/>
  <c r="E137" i="1"/>
  <c r="N21" i="41"/>
  <c r="N23" i="41"/>
  <c r="N14" i="41"/>
  <c r="F99" i="41"/>
  <c r="N19" i="41" s="1"/>
  <c r="F90" i="41"/>
  <c r="N13" i="41" s="1"/>
  <c r="N23" i="4"/>
  <c r="N21" i="4"/>
  <c r="N19" i="4"/>
  <c r="N14" i="4"/>
  <c r="F94" i="4"/>
  <c r="F85" i="4"/>
  <c r="N13" i="4" s="1"/>
  <c r="F84" i="16"/>
  <c r="G84" i="16" s="1"/>
  <c r="H84" i="16" s="1"/>
  <c r="B24" i="34"/>
  <c r="D55" i="41"/>
  <c r="N53" i="41"/>
  <c r="F53" i="41"/>
  <c r="H53" i="41" s="1"/>
  <c r="N52" i="41"/>
  <c r="F52" i="41"/>
  <c r="H52" i="41" s="1"/>
  <c r="N51" i="41"/>
  <c r="N55" i="41" s="1"/>
  <c r="L55" i="41" s="1"/>
  <c r="D19" i="41" s="1"/>
  <c r="F51" i="41"/>
  <c r="H51" i="41" s="1"/>
  <c r="H25" i="41"/>
  <c r="J25" i="41" s="1"/>
  <c r="L25" i="41" s="1"/>
  <c r="H23" i="41"/>
  <c r="J23" i="41" s="1"/>
  <c r="L23" i="41" s="1"/>
  <c r="H22" i="41"/>
  <c r="J22" i="41" s="1"/>
  <c r="L22" i="41" s="1"/>
  <c r="P22" i="41" s="1"/>
  <c r="T22" i="41" s="1"/>
  <c r="H21" i="41"/>
  <c r="J21" i="41" s="1"/>
  <c r="L21" i="41" s="1"/>
  <c r="T18" i="41"/>
  <c r="T17" i="41"/>
  <c r="T16" i="41"/>
  <c r="H14" i="41"/>
  <c r="J14" i="41" s="1"/>
  <c r="L14" i="41" s="1"/>
  <c r="H13" i="41"/>
  <c r="J13" i="41" s="1"/>
  <c r="L13" i="41" s="1"/>
  <c r="P13" i="41" s="1"/>
  <c r="N45" i="4"/>
  <c r="N44" i="4"/>
  <c r="N43" i="4"/>
  <c r="D47" i="4"/>
  <c r="F45" i="4"/>
  <c r="H45" i="4" s="1"/>
  <c r="F44" i="4"/>
  <c r="H44" i="4" s="1"/>
  <c r="F43" i="4"/>
  <c r="H43" i="4" s="1"/>
  <c r="F100" i="4" l="1"/>
  <c r="N57" i="4" s="1"/>
  <c r="N47" i="4"/>
  <c r="H47" i="4"/>
  <c r="F47" i="4" s="1"/>
  <c r="F19" i="4" s="1"/>
  <c r="H55" i="41"/>
  <c r="F55" i="41" s="1"/>
  <c r="F19" i="41" s="1"/>
  <c r="H19" i="41" s="1"/>
  <c r="B27" i="42"/>
  <c r="H26" i="42"/>
  <c r="P21" i="41"/>
  <c r="T21" i="41" s="1"/>
  <c r="P23" i="41"/>
  <c r="T23" i="41" s="1"/>
  <c r="P14" i="41"/>
  <c r="T14" i="41" s="1"/>
  <c r="N25" i="41"/>
  <c r="N60" i="41" s="1"/>
  <c r="N68" i="41" s="1"/>
  <c r="F105" i="41"/>
  <c r="N65" i="41" s="1"/>
  <c r="L47" i="4"/>
  <c r="D19" i="4" s="1"/>
  <c r="N25" i="4"/>
  <c r="N52" i="4" s="1"/>
  <c r="N60" i="4" s="1"/>
  <c r="T13" i="41"/>
  <c r="J19" i="41" l="1"/>
  <c r="L19" i="41" s="1"/>
  <c r="P19" i="41" s="1"/>
  <c r="T19" i="41" s="1"/>
  <c r="T25" i="41" s="1"/>
  <c r="N32" i="41" s="1"/>
  <c r="B28" i="42"/>
  <c r="H27" i="42"/>
  <c r="N33" i="41" l="1"/>
  <c r="N34" i="41"/>
  <c r="N36" i="41" s="1"/>
  <c r="P25" i="41"/>
  <c r="B29" i="42"/>
  <c r="H28" i="42"/>
  <c r="T18" i="4"/>
  <c r="T17" i="4"/>
  <c r="H25" i="4"/>
  <c r="J25" i="4" s="1"/>
  <c r="L25" i="4" s="1"/>
  <c r="H23" i="4"/>
  <c r="J23" i="4" s="1"/>
  <c r="L23" i="4" s="1"/>
  <c r="H22" i="4"/>
  <c r="J22" i="4" s="1"/>
  <c r="L22" i="4" s="1"/>
  <c r="H21" i="4"/>
  <c r="J21" i="4" s="1"/>
  <c r="L21" i="4" s="1"/>
  <c r="P21" i="4" s="1"/>
  <c r="H19" i="4"/>
  <c r="J19" i="4" s="1"/>
  <c r="L19" i="4" s="1"/>
  <c r="P19" i="4" s="1"/>
  <c r="H14" i="4"/>
  <c r="J14" i="4" s="1"/>
  <c r="L14" i="4" s="1"/>
  <c r="P14" i="4" s="1"/>
  <c r="H13" i="4"/>
  <c r="J13" i="4" s="1"/>
  <c r="L13" i="4" s="1"/>
  <c r="P13" i="4" s="1"/>
  <c r="T13" i="4" s="1"/>
  <c r="B30" i="42" l="1"/>
  <c r="H29" i="42"/>
  <c r="P22" i="4"/>
  <c r="T14" i="4"/>
  <c r="P23" i="4"/>
  <c r="T23" i="4" s="1"/>
  <c r="T16" i="4"/>
  <c r="T19" i="4"/>
  <c r="T21" i="4"/>
  <c r="K38" i="40"/>
  <c r="L38" i="40" s="1"/>
  <c r="K15" i="40"/>
  <c r="L15" i="40" s="1"/>
  <c r="K14" i="40"/>
  <c r="L14" i="40" s="1"/>
  <c r="K13" i="40"/>
  <c r="L13" i="40" s="1"/>
  <c r="H174" i="36"/>
  <c r="E156" i="36"/>
  <c r="E118" i="36"/>
  <c r="E79" i="36"/>
  <c r="H32" i="36"/>
  <c r="H56" i="36" s="1"/>
  <c r="H77" i="36" s="1"/>
  <c r="D32" i="36"/>
  <c r="F32" i="36" s="1"/>
  <c r="H31" i="36"/>
  <c r="H55" i="36" s="1"/>
  <c r="H76" i="36" s="1"/>
  <c r="D31" i="36"/>
  <c r="F31" i="36" s="1"/>
  <c r="D55" i="36" s="1"/>
  <c r="F55" i="36" s="1"/>
  <c r="D76" i="36" s="1"/>
  <c r="H30" i="36"/>
  <c r="H54" i="36" s="1"/>
  <c r="H75" i="36" s="1"/>
  <c r="D30" i="36"/>
  <c r="H29" i="36"/>
  <c r="H53" i="36" s="1"/>
  <c r="D29" i="36"/>
  <c r="F29" i="36" s="1"/>
  <c r="D53" i="36" s="1"/>
  <c r="H28" i="36"/>
  <c r="H52" i="36" s="1"/>
  <c r="H73" i="36" s="1"/>
  <c r="D28" i="36"/>
  <c r="F28" i="36" s="1"/>
  <c r="D52" i="36" s="1"/>
  <c r="F52" i="36" s="1"/>
  <c r="D73" i="36" s="1"/>
  <c r="H27" i="36"/>
  <c r="H51" i="36" s="1"/>
  <c r="H72" i="36" s="1"/>
  <c r="H92" i="36" s="1"/>
  <c r="D27" i="36"/>
  <c r="F27" i="36" s="1"/>
  <c r="D51" i="36" s="1"/>
  <c r="H174" i="1"/>
  <c r="E176" i="1"/>
  <c r="H132" i="1"/>
  <c r="H32" i="1"/>
  <c r="H31" i="1"/>
  <c r="H55" i="1" s="1"/>
  <c r="H30" i="1"/>
  <c r="H54" i="1" s="1"/>
  <c r="H29" i="1"/>
  <c r="H53" i="1" s="1"/>
  <c r="H28" i="1"/>
  <c r="H52" i="1" s="1"/>
  <c r="H27" i="1"/>
  <c r="H51" i="1" s="1"/>
  <c r="D32" i="1"/>
  <c r="F32" i="1" s="1"/>
  <c r="D31" i="1"/>
  <c r="F31" i="1" s="1"/>
  <c r="D30" i="1"/>
  <c r="D29" i="1"/>
  <c r="F29" i="1" s="1"/>
  <c r="D28" i="1"/>
  <c r="F28" i="1" s="1"/>
  <c r="D27" i="1"/>
  <c r="F27" i="1" s="1"/>
  <c r="H76" i="1"/>
  <c r="H96" i="1" s="1"/>
  <c r="H75" i="1"/>
  <c r="H95" i="1" s="1"/>
  <c r="H74" i="1"/>
  <c r="H94" i="1" s="1"/>
  <c r="H72" i="1"/>
  <c r="H71" i="1"/>
  <c r="H91" i="1" s="1"/>
  <c r="E118" i="1"/>
  <c r="E78" i="1"/>
  <c r="K14" i="39"/>
  <c r="L14" i="39" s="1"/>
  <c r="K13" i="39"/>
  <c r="L13" i="39" s="1"/>
  <c r="G69" i="40"/>
  <c r="N63" i="40"/>
  <c r="F65" i="40" s="1"/>
  <c r="G70" i="39"/>
  <c r="N64" i="39"/>
  <c r="F66" i="39" s="1"/>
  <c r="G70" i="38"/>
  <c r="N64" i="38"/>
  <c r="F66" i="38" s="1"/>
  <c r="L64" i="38"/>
  <c r="G75" i="38" s="1"/>
  <c r="G77" i="38" s="1"/>
  <c r="K64" i="38"/>
  <c r="G69" i="37"/>
  <c r="N63" i="37"/>
  <c r="F65" i="37" s="1"/>
  <c r="G70" i="37" s="1"/>
  <c r="L63" i="37"/>
  <c r="G74" i="37" s="1"/>
  <c r="G76" i="37" s="1"/>
  <c r="K63" i="37"/>
  <c r="H112" i="1" l="1"/>
  <c r="H92" i="1"/>
  <c r="H112" i="36"/>
  <c r="H93" i="36"/>
  <c r="H114" i="36"/>
  <c r="H152" i="36" s="1"/>
  <c r="H172" i="36" s="1"/>
  <c r="H95" i="36"/>
  <c r="H115" i="36"/>
  <c r="H96" i="36"/>
  <c r="H116" i="36"/>
  <c r="H97" i="36"/>
  <c r="H56" i="1"/>
  <c r="B31" i="42"/>
  <c r="H30" i="42"/>
  <c r="M52" i="36"/>
  <c r="M51" i="36"/>
  <c r="D56" i="36"/>
  <c r="M53" i="36" s="1"/>
  <c r="H150" i="1"/>
  <c r="H170" i="1" s="1"/>
  <c r="H131" i="1"/>
  <c r="D51" i="1"/>
  <c r="D53" i="1"/>
  <c r="H151" i="1"/>
  <c r="H171" i="1" s="1"/>
  <c r="D56" i="1"/>
  <c r="D52" i="1"/>
  <c r="F52" i="1" s="1"/>
  <c r="D72" i="1" s="1"/>
  <c r="F72" i="1" s="1"/>
  <c r="D55" i="1"/>
  <c r="F55" i="1" s="1"/>
  <c r="D75" i="1" s="1"/>
  <c r="F75" i="1" s="1"/>
  <c r="H153" i="36"/>
  <c r="H173" i="36" s="1"/>
  <c r="H134" i="36"/>
  <c r="H151" i="36"/>
  <c r="H171" i="36" s="1"/>
  <c r="H132" i="36"/>
  <c r="H150" i="36"/>
  <c r="H170" i="36" s="1"/>
  <c r="H131" i="36"/>
  <c r="H116" i="1"/>
  <c r="H114" i="1"/>
  <c r="H115" i="1"/>
  <c r="P25" i="4"/>
  <c r="T22" i="4"/>
  <c r="T25" i="4" s="1"/>
  <c r="K63" i="40"/>
  <c r="L63" i="40"/>
  <c r="G74" i="40" s="1"/>
  <c r="G76" i="40" s="1"/>
  <c r="F76" i="36"/>
  <c r="D96" i="36" s="1"/>
  <c r="F96" i="36" s="1"/>
  <c r="D115" i="36" s="1"/>
  <c r="D34" i="36"/>
  <c r="F73" i="36"/>
  <c r="D93" i="36" s="1"/>
  <c r="F93" i="36" s="1"/>
  <c r="D112" i="36" s="1"/>
  <c r="D34" i="1"/>
  <c r="L64" i="39"/>
  <c r="G75" i="39" s="1"/>
  <c r="G77" i="39" s="1"/>
  <c r="K64" i="39"/>
  <c r="G70" i="40"/>
  <c r="F66" i="40"/>
  <c r="G72" i="40"/>
  <c r="G71" i="39"/>
  <c r="F67" i="39"/>
  <c r="G73" i="39"/>
  <c r="G79" i="38"/>
  <c r="G71" i="38"/>
  <c r="F67" i="38"/>
  <c r="G73" i="38"/>
  <c r="G72" i="37"/>
  <c r="G78" i="37" s="1"/>
  <c r="F66" i="37"/>
  <c r="H133" i="36" l="1"/>
  <c r="P28" i="41"/>
  <c r="N28" i="4"/>
  <c r="D95" i="1"/>
  <c r="F95" i="1" s="1"/>
  <c r="D115" i="1" s="1"/>
  <c r="F115" i="1" s="1"/>
  <c r="D134" i="1" s="1"/>
  <c r="F134" i="1" s="1"/>
  <c r="D153" i="1" s="1"/>
  <c r="D92" i="1"/>
  <c r="B32" i="42"/>
  <c r="H31" i="42"/>
  <c r="M54" i="36"/>
  <c r="N52" i="36" s="1"/>
  <c r="P52" i="36" s="1"/>
  <c r="E51" i="36" s="1"/>
  <c r="H152" i="1"/>
  <c r="H172" i="1" s="1"/>
  <c r="H133" i="1"/>
  <c r="M51" i="1"/>
  <c r="M53" i="1"/>
  <c r="M52" i="1"/>
  <c r="H153" i="1"/>
  <c r="H173" i="1" s="1"/>
  <c r="H134" i="1"/>
  <c r="G78" i="40"/>
  <c r="H111" i="36" s="1"/>
  <c r="F112" i="36"/>
  <c r="D131" i="36" s="1"/>
  <c r="F131" i="36" s="1"/>
  <c r="F115" i="36"/>
  <c r="D134" i="36" s="1"/>
  <c r="F134" i="36" s="1"/>
  <c r="G79" i="39"/>
  <c r="H111" i="1" s="1"/>
  <c r="H149" i="1" l="1"/>
  <c r="H169" i="1" s="1"/>
  <c r="H130" i="1"/>
  <c r="N29" i="4"/>
  <c r="N30" i="4"/>
  <c r="N32" i="4" s="1"/>
  <c r="H130" i="36"/>
  <c r="H149" i="36"/>
  <c r="H169" i="36" s="1"/>
  <c r="F26" i="16"/>
  <c r="P29" i="41"/>
  <c r="P36" i="41" s="1"/>
  <c r="F92" i="1"/>
  <c r="D112" i="1" s="1"/>
  <c r="F112" i="1" s="1"/>
  <c r="D131" i="1" s="1"/>
  <c r="F131" i="1" s="1"/>
  <c r="D150" i="1" s="1"/>
  <c r="B33" i="42"/>
  <c r="H32" i="42"/>
  <c r="F51" i="36"/>
  <c r="D72" i="36" s="1"/>
  <c r="N53" i="36"/>
  <c r="P53" i="36" s="1"/>
  <c r="E56" i="36" s="1"/>
  <c r="F56" i="36" s="1"/>
  <c r="D77" i="36" s="1"/>
  <c r="F77" i="36" s="1"/>
  <c r="N51" i="36"/>
  <c r="P51" i="36" s="1"/>
  <c r="M54" i="1"/>
  <c r="N52" i="1" s="1"/>
  <c r="P52" i="1" s="1"/>
  <c r="E51" i="1" s="1"/>
  <c r="F51" i="1" s="1"/>
  <c r="D71" i="1" s="1"/>
  <c r="F71" i="1" s="1"/>
  <c r="D91" i="1" s="1"/>
  <c r="D153" i="36"/>
  <c r="F153" i="36" s="1"/>
  <c r="D150" i="36"/>
  <c r="F150" i="36" s="1"/>
  <c r="D97" i="36" l="1"/>
  <c r="F97" i="36" s="1"/>
  <c r="D116" i="36" s="1"/>
  <c r="F116" i="36" s="1"/>
  <c r="F64" i="16"/>
  <c r="F83" i="16" s="1"/>
  <c r="G83" i="16" s="1"/>
  <c r="F42" i="16"/>
  <c r="N51" i="1"/>
  <c r="P51" i="1" s="1"/>
  <c r="E53" i="1" s="1"/>
  <c r="N53" i="1"/>
  <c r="P53" i="1" s="1"/>
  <c r="E56" i="1" s="1"/>
  <c r="F56" i="1" s="1"/>
  <c r="D76" i="1" s="1"/>
  <c r="F76" i="1" s="1"/>
  <c r="B34" i="42"/>
  <c r="H33" i="42"/>
  <c r="E53" i="36"/>
  <c r="P54" i="36"/>
  <c r="F72" i="36"/>
  <c r="D92" i="36" s="1"/>
  <c r="F92" i="36" s="1"/>
  <c r="D111" i="36" s="1"/>
  <c r="P54" i="1"/>
  <c r="D170" i="36"/>
  <c r="D173" i="36"/>
  <c r="E24" i="24"/>
  <c r="D154" i="36" l="1"/>
  <c r="F154" i="36" s="1"/>
  <c r="D174" i="36" s="1"/>
  <c r="M171" i="36" s="1"/>
  <c r="D135" i="36"/>
  <c r="F135" i="36" s="1"/>
  <c r="G86" i="16"/>
  <c r="H83" i="16"/>
  <c r="H86" i="16" s="1"/>
  <c r="F91" i="1"/>
  <c r="D111" i="1" s="1"/>
  <c r="F111" i="1" s="1"/>
  <c r="D130" i="1" s="1"/>
  <c r="F130" i="1" s="1"/>
  <c r="D149" i="1" s="1"/>
  <c r="D96" i="1"/>
  <c r="F96" i="1" s="1"/>
  <c r="D116" i="1" s="1"/>
  <c r="F116" i="1" s="1"/>
  <c r="D135" i="1" s="1"/>
  <c r="F135" i="1" s="1"/>
  <c r="D154" i="1" s="1"/>
  <c r="B35" i="42"/>
  <c r="H34" i="42"/>
  <c r="F53" i="36"/>
  <c r="E58" i="36"/>
  <c r="F170" i="36"/>
  <c r="F173" i="36"/>
  <c r="E58" i="1"/>
  <c r="F53" i="1"/>
  <c r="F9" i="18"/>
  <c r="D12" i="18" s="1"/>
  <c r="F9" i="34"/>
  <c r="D20" i="34" s="1"/>
  <c r="F9" i="3"/>
  <c r="D19" i="3" s="1"/>
  <c r="F19" i="36"/>
  <c r="G17" i="36" s="1"/>
  <c r="I17" i="36" s="1"/>
  <c r="J17" i="36" s="1"/>
  <c r="D23" i="35"/>
  <c r="E26" i="24" s="1"/>
  <c r="E30" i="36" s="1"/>
  <c r="D16" i="16"/>
  <c r="E14" i="16" s="1"/>
  <c r="F19" i="1"/>
  <c r="G13" i="1" s="1"/>
  <c r="F150" i="1"/>
  <c r="D170" i="1" s="1"/>
  <c r="F153" i="1"/>
  <c r="D173" i="1" s="1"/>
  <c r="F173" i="1" s="1"/>
  <c r="E156" i="1"/>
  <c r="B15" i="18"/>
  <c r="D15" i="17"/>
  <c r="D17" i="17" s="1"/>
  <c r="H89" i="16" l="1"/>
  <c r="H48" i="16"/>
  <c r="D14" i="3"/>
  <c r="D15" i="3"/>
  <c r="D17" i="3"/>
  <c r="D16" i="3"/>
  <c r="D16" i="34"/>
  <c r="D18" i="34"/>
  <c r="D17" i="34"/>
  <c r="D15" i="34"/>
  <c r="D14" i="34"/>
  <c r="D13" i="34"/>
  <c r="D13" i="3"/>
  <c r="D12" i="3"/>
  <c r="B36" i="42"/>
  <c r="H35" i="42"/>
  <c r="D25" i="35"/>
  <c r="D12" i="34"/>
  <c r="F111" i="36"/>
  <c r="D74" i="36"/>
  <c r="D73" i="1"/>
  <c r="G14" i="36"/>
  <c r="I14" i="36" s="1"/>
  <c r="J14" i="36" s="1"/>
  <c r="G14" i="16"/>
  <c r="H14" i="16" s="1"/>
  <c r="E27" i="16"/>
  <c r="E43" i="16" s="1"/>
  <c r="G43" i="16" s="1"/>
  <c r="H43" i="16" s="1"/>
  <c r="F170" i="1"/>
  <c r="F154" i="1"/>
  <c r="D174" i="1" s="1"/>
  <c r="F149" i="1"/>
  <c r="D169" i="1" s="1"/>
  <c r="H32" i="16"/>
  <c r="H70" i="16"/>
  <c r="E13" i="16"/>
  <c r="E26" i="16" s="1"/>
  <c r="E42" i="16" s="1"/>
  <c r="G12" i="1"/>
  <c r="I12" i="1" s="1"/>
  <c r="J12" i="1" s="1"/>
  <c r="G16" i="1"/>
  <c r="I16" i="1" s="1"/>
  <c r="J16" i="1" s="1"/>
  <c r="G15" i="1"/>
  <c r="I15" i="1" s="1"/>
  <c r="J15" i="1" s="1"/>
  <c r="I13" i="1"/>
  <c r="J13" i="1" s="1"/>
  <c r="G14" i="1"/>
  <c r="I14" i="1" s="1"/>
  <c r="J14" i="1" s="1"/>
  <c r="G17" i="1"/>
  <c r="I17" i="1" s="1"/>
  <c r="J17" i="1" s="1"/>
  <c r="G12" i="36"/>
  <c r="G16" i="36"/>
  <c r="I16" i="36" s="1"/>
  <c r="J16" i="36" s="1"/>
  <c r="G15" i="36"/>
  <c r="I15" i="36" s="1"/>
  <c r="J15" i="36" s="1"/>
  <c r="G13" i="36"/>
  <c r="I13" i="36" s="1"/>
  <c r="J13" i="36" s="1"/>
  <c r="J61" i="36" l="1"/>
  <c r="J102" i="36"/>
  <c r="F174" i="1"/>
  <c r="M172" i="1"/>
  <c r="F169" i="1"/>
  <c r="M171" i="1"/>
  <c r="J37" i="36"/>
  <c r="J82" i="36"/>
  <c r="J121" i="36"/>
  <c r="J140" i="36"/>
  <c r="J159" i="36"/>
  <c r="J179" i="36"/>
  <c r="B37" i="42"/>
  <c r="H36" i="42"/>
  <c r="E34" i="36"/>
  <c r="F30" i="36"/>
  <c r="F74" i="36"/>
  <c r="D94" i="36" s="1"/>
  <c r="F94" i="36" s="1"/>
  <c r="D113" i="36" s="1"/>
  <c r="D130" i="36"/>
  <c r="D149" i="36"/>
  <c r="F73" i="1"/>
  <c r="D93" i="1" s="1"/>
  <c r="G42" i="16"/>
  <c r="E45" i="16"/>
  <c r="G26" i="16"/>
  <c r="E64" i="16"/>
  <c r="E29" i="16"/>
  <c r="G27" i="16"/>
  <c r="H27" i="16" s="1"/>
  <c r="E65" i="16"/>
  <c r="G65" i="16" s="1"/>
  <c r="H65" i="16" s="1"/>
  <c r="G13" i="16"/>
  <c r="E16" i="16"/>
  <c r="J19" i="1"/>
  <c r="I19" i="1"/>
  <c r="G19" i="1"/>
  <c r="I12" i="36"/>
  <c r="J12" i="36" s="1"/>
  <c r="G19" i="36"/>
  <c r="F93" i="1" l="1"/>
  <c r="D113" i="1" s="1"/>
  <c r="D16" i="21"/>
  <c r="D18" i="21" s="1"/>
  <c r="J30" i="49"/>
  <c r="J31" i="49" s="1"/>
  <c r="J33" i="49" s="1"/>
  <c r="N122" i="46"/>
  <c r="N123" i="46" s="1"/>
  <c r="N125" i="46" s="1"/>
  <c r="P122" i="48"/>
  <c r="P123" i="48" s="1"/>
  <c r="P125" i="48" s="1"/>
  <c r="H27" i="44"/>
  <c r="H29" i="44" s="1"/>
  <c r="H32" i="44" s="1"/>
  <c r="H34" i="44" s="1"/>
  <c r="D24" i="3"/>
  <c r="J24" i="3" s="1"/>
  <c r="P37" i="41"/>
  <c r="P38" i="41" s="1"/>
  <c r="N33" i="4"/>
  <c r="N34" i="4" s="1"/>
  <c r="N36" i="4" s="1"/>
  <c r="D30" i="3"/>
  <c r="D28" i="3"/>
  <c r="D26" i="3"/>
  <c r="D23" i="3"/>
  <c r="H38" i="23"/>
  <c r="H40" i="23" s="1"/>
  <c r="H43" i="23" s="1"/>
  <c r="H45" i="23" s="1"/>
  <c r="G54" i="45"/>
  <c r="G56" i="45" s="1"/>
  <c r="G59" i="45" s="1"/>
  <c r="G61" i="45" s="1"/>
  <c r="D31" i="3"/>
  <c r="D29" i="3"/>
  <c r="D27" i="3"/>
  <c r="N37" i="41"/>
  <c r="N38" i="41" s="1"/>
  <c r="D25" i="3"/>
  <c r="H30" i="43"/>
  <c r="H32" i="43" s="1"/>
  <c r="H23" i="22"/>
  <c r="H25" i="22" s="1"/>
  <c r="B38" i="42"/>
  <c r="H37" i="42"/>
  <c r="D54" i="36"/>
  <c r="F34" i="36"/>
  <c r="G30" i="36" s="1"/>
  <c r="I30" i="36" s="1"/>
  <c r="J30" i="36" s="1"/>
  <c r="F149" i="36"/>
  <c r="F130" i="36"/>
  <c r="G45" i="16"/>
  <c r="H42" i="16"/>
  <c r="H45" i="16" s="1"/>
  <c r="G64" i="16"/>
  <c r="E67" i="16"/>
  <c r="H26" i="16"/>
  <c r="H29" i="16" s="1"/>
  <c r="G29" i="16"/>
  <c r="H13" i="16"/>
  <c r="H16" i="16" s="1"/>
  <c r="G16" i="16"/>
  <c r="J19" i="36"/>
  <c r="I19" i="36"/>
  <c r="F16" i="21" l="1"/>
  <c r="F18" i="21" s="1"/>
  <c r="N30" i="49"/>
  <c r="N31" i="49" s="1"/>
  <c r="N33" i="49" s="1"/>
  <c r="T122" i="48"/>
  <c r="T123" i="48" s="1"/>
  <c r="T125" i="48" s="1"/>
  <c r="R122" i="46"/>
  <c r="R123" i="46" s="1"/>
  <c r="R125" i="46" s="1"/>
  <c r="D30" i="34"/>
  <c r="D25" i="34"/>
  <c r="K25" i="34" s="1"/>
  <c r="I54" i="45"/>
  <c r="I56" i="45" s="1"/>
  <c r="I59" i="45" s="1"/>
  <c r="I61" i="45" s="1"/>
  <c r="D29" i="34"/>
  <c r="J38" i="23"/>
  <c r="J40" i="23" s="1"/>
  <c r="J43" i="23" s="1"/>
  <c r="J45" i="23" s="1"/>
  <c r="D32" i="34"/>
  <c r="D28" i="34"/>
  <c r="J27" i="44"/>
  <c r="J29" i="44" s="1"/>
  <c r="J32" i="44" s="1"/>
  <c r="J34" i="44" s="1"/>
  <c r="D31" i="34"/>
  <c r="D26" i="34"/>
  <c r="D27" i="34"/>
  <c r="J30" i="43"/>
  <c r="J32" i="43" s="1"/>
  <c r="J23" i="22"/>
  <c r="J25" i="22" s="1"/>
  <c r="N40" i="41"/>
  <c r="D16" i="18"/>
  <c r="L19" i="51"/>
  <c r="L20" i="51" s="1"/>
  <c r="L22" i="51" s="1"/>
  <c r="B39" i="42"/>
  <c r="H38" i="42"/>
  <c r="G27" i="36"/>
  <c r="G32" i="36"/>
  <c r="I32" i="36" s="1"/>
  <c r="J32" i="36" s="1"/>
  <c r="G28" i="36"/>
  <c r="I28" i="36" s="1"/>
  <c r="J28" i="36" s="1"/>
  <c r="G31" i="36"/>
  <c r="I31" i="36" s="1"/>
  <c r="J31" i="36" s="1"/>
  <c r="G29" i="36"/>
  <c r="I29" i="36" s="1"/>
  <c r="J29" i="36" s="1"/>
  <c r="D58" i="36"/>
  <c r="F54" i="36"/>
  <c r="F113" i="36"/>
  <c r="D169" i="36"/>
  <c r="M170" i="36" s="1"/>
  <c r="D24" i="34"/>
  <c r="F113" i="1"/>
  <c r="H47" i="16"/>
  <c r="H50" i="16" s="1"/>
  <c r="D20" i="18" s="1"/>
  <c r="H64" i="16"/>
  <c r="H67" i="16" s="1"/>
  <c r="H69" i="16" s="1"/>
  <c r="G67" i="16"/>
  <c r="D15" i="18"/>
  <c r="H31" i="16"/>
  <c r="H34" i="16" s="1"/>
  <c r="D19" i="18" s="1"/>
  <c r="B40" i="42" l="1"/>
  <c r="H39" i="42"/>
  <c r="D75" i="36"/>
  <c r="F58" i="36"/>
  <c r="G54" i="36" s="1"/>
  <c r="I54" i="36" s="1"/>
  <c r="J54" i="36" s="1"/>
  <c r="I27" i="36"/>
  <c r="G34" i="36"/>
  <c r="D132" i="36"/>
  <c r="D151" i="36"/>
  <c r="D132" i="1"/>
  <c r="H88" i="16"/>
  <c r="H91" i="16" s="1"/>
  <c r="D22" i="18" s="1"/>
  <c r="H72" i="16"/>
  <c r="F73" i="16" s="1"/>
  <c r="B41" i="42" l="1"/>
  <c r="H40" i="42"/>
  <c r="I34" i="36"/>
  <c r="J27" i="36"/>
  <c r="J34" i="36" s="1"/>
  <c r="J36" i="36" s="1"/>
  <c r="J39" i="36" s="1"/>
  <c r="D35" i="34" s="1"/>
  <c r="G52" i="36"/>
  <c r="I52" i="36" s="1"/>
  <c r="J52" i="36" s="1"/>
  <c r="G56" i="36"/>
  <c r="I56" i="36" s="1"/>
  <c r="J56" i="36" s="1"/>
  <c r="G55" i="36"/>
  <c r="I55" i="36" s="1"/>
  <c r="J55" i="36" s="1"/>
  <c r="G51" i="36"/>
  <c r="G53" i="36"/>
  <c r="I53" i="36" s="1"/>
  <c r="J53" i="36" s="1"/>
  <c r="F75" i="36"/>
  <c r="D95" i="36" s="1"/>
  <c r="D79" i="36"/>
  <c r="F151" i="36"/>
  <c r="F132" i="36"/>
  <c r="F132" i="1"/>
  <c r="D21" i="18"/>
  <c r="H21" i="18" l="1"/>
  <c r="D25" i="18"/>
  <c r="D27" i="18" s="1"/>
  <c r="F95" i="36"/>
  <c r="D99" i="36"/>
  <c r="B42" i="42"/>
  <c r="H41" i="42"/>
  <c r="F79" i="36"/>
  <c r="G75" i="36" s="1"/>
  <c r="I75" i="36" s="1"/>
  <c r="J75" i="36" s="1"/>
  <c r="I51" i="36"/>
  <c r="G58" i="36"/>
  <c r="D171" i="36"/>
  <c r="M169" i="36" s="1"/>
  <c r="M172" i="36" s="1"/>
  <c r="D151" i="1"/>
  <c r="D114" i="36" l="1"/>
  <c r="F99" i="36"/>
  <c r="G95" i="36" s="1"/>
  <c r="I95" i="36" s="1"/>
  <c r="J95" i="36" s="1"/>
  <c r="N169" i="36"/>
  <c r="N171" i="36"/>
  <c r="P171" i="36"/>
  <c r="P169" i="36"/>
  <c r="N170" i="36"/>
  <c r="B43" i="42"/>
  <c r="H42" i="42"/>
  <c r="J51" i="36"/>
  <c r="J58" i="36" s="1"/>
  <c r="J60" i="36" s="1"/>
  <c r="J63" i="36" s="1"/>
  <c r="D36" i="34" s="1"/>
  <c r="I58" i="36"/>
  <c r="G74" i="36"/>
  <c r="I74" i="36" s="1"/>
  <c r="J74" i="36" s="1"/>
  <c r="G76" i="36"/>
  <c r="I76" i="36" s="1"/>
  <c r="J76" i="36" s="1"/>
  <c r="G73" i="36"/>
  <c r="I73" i="36" s="1"/>
  <c r="J73" i="36" s="1"/>
  <c r="G72" i="36"/>
  <c r="G77" i="36"/>
  <c r="I77" i="36" s="1"/>
  <c r="J77" i="36" s="1"/>
  <c r="F114" i="36"/>
  <c r="D118" i="36"/>
  <c r="F151" i="1"/>
  <c r="G92" i="36" l="1"/>
  <c r="G94" i="36"/>
  <c r="I94" i="36" s="1"/>
  <c r="J94" i="36" s="1"/>
  <c r="G97" i="36"/>
  <c r="I97" i="36" s="1"/>
  <c r="J97" i="36" s="1"/>
  <c r="G93" i="36"/>
  <c r="I93" i="36" s="1"/>
  <c r="J93" i="36" s="1"/>
  <c r="G96" i="36"/>
  <c r="I96" i="36" s="1"/>
  <c r="J96" i="36" s="1"/>
  <c r="Q169" i="36"/>
  <c r="E171" i="36"/>
  <c r="F171" i="36" s="1"/>
  <c r="E174" i="36"/>
  <c r="F174" i="36" s="1"/>
  <c r="Q171" i="36"/>
  <c r="P170" i="36"/>
  <c r="B44" i="42"/>
  <c r="H43" i="42"/>
  <c r="D133" i="36"/>
  <c r="D152" i="36"/>
  <c r="F118" i="36"/>
  <c r="G114" i="36" s="1"/>
  <c r="I114" i="36" s="1"/>
  <c r="J114" i="36" s="1"/>
  <c r="I72" i="36"/>
  <c r="G79" i="36"/>
  <c r="D171" i="1"/>
  <c r="M170" i="1" s="1"/>
  <c r="I92" i="36" l="1"/>
  <c r="G99" i="36"/>
  <c r="Q170" i="36"/>
  <c r="E169" i="36"/>
  <c r="Q172" i="36"/>
  <c r="R169" i="36" s="1"/>
  <c r="M173" i="1"/>
  <c r="N170" i="1" s="1"/>
  <c r="B45" i="42"/>
  <c r="H44" i="42"/>
  <c r="G113" i="36"/>
  <c r="I113" i="36" s="1"/>
  <c r="J113" i="36" s="1"/>
  <c r="G112" i="36"/>
  <c r="I112" i="36" s="1"/>
  <c r="J112" i="36" s="1"/>
  <c r="G111" i="36"/>
  <c r="G115" i="36"/>
  <c r="I115" i="36" s="1"/>
  <c r="J115" i="36" s="1"/>
  <c r="G116" i="36"/>
  <c r="I116" i="36" s="1"/>
  <c r="J116" i="36" s="1"/>
  <c r="F152" i="36"/>
  <c r="D156" i="36"/>
  <c r="I79" i="36"/>
  <c r="J72" i="36"/>
  <c r="J79" i="36" s="1"/>
  <c r="F133" i="36"/>
  <c r="D137" i="36"/>
  <c r="F171" i="1"/>
  <c r="J92" i="36" l="1"/>
  <c r="J99" i="36" s="1"/>
  <c r="I99" i="36"/>
  <c r="E176" i="36"/>
  <c r="F169" i="36"/>
  <c r="R170" i="36"/>
  <c r="R171" i="36"/>
  <c r="N172" i="1"/>
  <c r="P172" i="1"/>
  <c r="N171" i="1"/>
  <c r="P170" i="1"/>
  <c r="Q170" i="1" s="1"/>
  <c r="B46" i="42"/>
  <c r="H45" i="42"/>
  <c r="G118" i="36"/>
  <c r="I111" i="36"/>
  <c r="F137" i="36"/>
  <c r="G133" i="36" s="1"/>
  <c r="I133" i="36" s="1"/>
  <c r="J133" i="36" s="1"/>
  <c r="D172" i="36"/>
  <c r="F156" i="36"/>
  <c r="G152" i="36" s="1"/>
  <c r="I152" i="36" s="1"/>
  <c r="J152" i="36" s="1"/>
  <c r="J81" i="36"/>
  <c r="J84" i="36" s="1"/>
  <c r="D37" i="34" s="1"/>
  <c r="D19" i="34" s="1"/>
  <c r="J101" i="36" l="1"/>
  <c r="J104" i="36" s="1"/>
  <c r="D38" i="34" s="1"/>
  <c r="P171" i="1"/>
  <c r="Q171" i="1" s="1"/>
  <c r="Q172" i="1"/>
  <c r="B47" i="42"/>
  <c r="H46" i="42"/>
  <c r="G132" i="36"/>
  <c r="I132" i="36" s="1"/>
  <c r="J132" i="36" s="1"/>
  <c r="G135" i="36"/>
  <c r="I135" i="36" s="1"/>
  <c r="J135" i="36" s="1"/>
  <c r="G131" i="36"/>
  <c r="I131" i="36" s="1"/>
  <c r="J131" i="36" s="1"/>
  <c r="G130" i="36"/>
  <c r="G134" i="36"/>
  <c r="I134" i="36" s="1"/>
  <c r="J134" i="36" s="1"/>
  <c r="G151" i="36"/>
  <c r="I151" i="36" s="1"/>
  <c r="J151" i="36" s="1"/>
  <c r="G149" i="36"/>
  <c r="G153" i="36"/>
  <c r="I153" i="36" s="1"/>
  <c r="J153" i="36" s="1"/>
  <c r="G154" i="36"/>
  <c r="I154" i="36" s="1"/>
  <c r="J154" i="36" s="1"/>
  <c r="G150" i="36"/>
  <c r="I150" i="36" s="1"/>
  <c r="J150" i="36" s="1"/>
  <c r="J111" i="36"/>
  <c r="J118" i="36" s="1"/>
  <c r="J120" i="36" s="1"/>
  <c r="J123" i="36" s="1"/>
  <c r="D39" i="34" s="1"/>
  <c r="I118" i="36"/>
  <c r="F172" i="36"/>
  <c r="D176" i="36"/>
  <c r="Q173" i="1" l="1"/>
  <c r="R170" i="1" s="1"/>
  <c r="B48" i="42"/>
  <c r="H47" i="42"/>
  <c r="I130" i="36"/>
  <c r="G137" i="36"/>
  <c r="G156" i="36"/>
  <c r="I149" i="36"/>
  <c r="F176" i="36"/>
  <c r="G172" i="36" s="1"/>
  <c r="I172" i="36" s="1"/>
  <c r="J172" i="36" s="1"/>
  <c r="R171" i="1" l="1"/>
  <c r="R172" i="1"/>
  <c r="B49" i="42"/>
  <c r="H48" i="42"/>
  <c r="I156" i="36"/>
  <c r="J149" i="36"/>
  <c r="J156" i="36" s="1"/>
  <c r="G169" i="36"/>
  <c r="G173" i="36"/>
  <c r="I173" i="36" s="1"/>
  <c r="J173" i="36" s="1"/>
  <c r="G174" i="36"/>
  <c r="I174" i="36" s="1"/>
  <c r="J174" i="36" s="1"/>
  <c r="G170" i="36"/>
  <c r="I170" i="36" s="1"/>
  <c r="J170" i="36" s="1"/>
  <c r="G171" i="36"/>
  <c r="I171" i="36" s="1"/>
  <c r="J171" i="36" s="1"/>
  <c r="I137" i="36"/>
  <c r="J130" i="36"/>
  <c r="J137" i="36" s="1"/>
  <c r="J139" i="36" s="1"/>
  <c r="J142" i="36" s="1"/>
  <c r="D40" i="34" s="1"/>
  <c r="B50" i="42" l="1"/>
  <c r="H49" i="42"/>
  <c r="J158" i="36"/>
  <c r="J161" i="36" s="1"/>
  <c r="D41" i="34" s="1"/>
  <c r="H41" i="34" s="1"/>
  <c r="G176" i="36"/>
  <c r="I169" i="36"/>
  <c r="H162" i="36" l="1"/>
  <c r="B51" i="42"/>
  <c r="H50" i="42"/>
  <c r="I176" i="36"/>
  <c r="J169" i="36"/>
  <c r="J176" i="36" s="1"/>
  <c r="J178" i="36" s="1"/>
  <c r="J181" i="36" s="1"/>
  <c r="B52" i="42" l="1"/>
  <c r="H51" i="42"/>
  <c r="D42" i="34"/>
  <c r="J193" i="36"/>
  <c r="B53" i="42" l="1"/>
  <c r="H52" i="42"/>
  <c r="B54" i="42" l="1"/>
  <c r="H53" i="42"/>
  <c r="B55" i="42" l="1"/>
  <c r="H54" i="42"/>
  <c r="B56" i="42" l="1"/>
  <c r="H55" i="42"/>
  <c r="B57" i="42" l="1"/>
  <c r="H56" i="42"/>
  <c r="B58" i="42" l="1"/>
  <c r="H57" i="42"/>
  <c r="B59" i="42" l="1"/>
  <c r="H58" i="42"/>
  <c r="B60" i="42" l="1"/>
  <c r="H59" i="42"/>
  <c r="B61" i="42" l="1"/>
  <c r="H60" i="42"/>
  <c r="B62" i="42" l="1"/>
  <c r="H61" i="42"/>
  <c r="B63" i="42" l="1"/>
  <c r="H62" i="42"/>
  <c r="B64" i="42" l="1"/>
  <c r="H63" i="42"/>
  <c r="H64" i="42" l="1"/>
  <c r="H65" i="42"/>
  <c r="H67" i="42" s="1"/>
  <c r="O63" i="42" l="1"/>
  <c r="P63" i="42" s="1"/>
  <c r="O61" i="42"/>
  <c r="P61" i="42" s="1"/>
  <c r="O59" i="42"/>
  <c r="P59" i="42" s="1"/>
  <c r="O57" i="42"/>
  <c r="P57" i="42" s="1"/>
  <c r="O55" i="42"/>
  <c r="P55" i="42" s="1"/>
  <c r="O53" i="42"/>
  <c r="P53" i="42" s="1"/>
  <c r="O51" i="42"/>
  <c r="P51" i="42" s="1"/>
  <c r="O49" i="42"/>
  <c r="P49" i="42" s="1"/>
  <c r="O47" i="42"/>
  <c r="P47" i="42" s="1"/>
  <c r="O45" i="42"/>
  <c r="P45" i="42" s="1"/>
  <c r="O43" i="42"/>
  <c r="P43" i="42" s="1"/>
  <c r="O41" i="42"/>
  <c r="P41" i="42" s="1"/>
  <c r="O39" i="42"/>
  <c r="P39" i="42" s="1"/>
  <c r="O37" i="42"/>
  <c r="P37" i="42" s="1"/>
  <c r="O35" i="42"/>
  <c r="P35" i="42" s="1"/>
  <c r="O33" i="42"/>
  <c r="P33" i="42" s="1"/>
  <c r="O31" i="42"/>
  <c r="P31" i="42" s="1"/>
  <c r="O29" i="42"/>
  <c r="P29" i="42" s="1"/>
  <c r="O27" i="42"/>
  <c r="P27" i="42" s="1"/>
  <c r="O25" i="42"/>
  <c r="P25" i="42" s="1"/>
  <c r="O23" i="42"/>
  <c r="P23" i="42" s="1"/>
  <c r="O21" i="42"/>
  <c r="P21" i="42" s="1"/>
  <c r="O19" i="42"/>
  <c r="P19" i="42" s="1"/>
  <c r="O17" i="42"/>
  <c r="O64" i="42"/>
  <c r="P64" i="42" s="1"/>
  <c r="O60" i="42"/>
  <c r="P60" i="42" s="1"/>
  <c r="O56" i="42"/>
  <c r="P56" i="42" s="1"/>
  <c r="O52" i="42"/>
  <c r="P52" i="42" s="1"/>
  <c r="O48" i="42"/>
  <c r="P48" i="42" s="1"/>
  <c r="O44" i="42"/>
  <c r="P44" i="42" s="1"/>
  <c r="O40" i="42"/>
  <c r="P40" i="42" s="1"/>
  <c r="O36" i="42"/>
  <c r="P36" i="42" s="1"/>
  <c r="O32" i="42"/>
  <c r="P32" i="42" s="1"/>
  <c r="O28" i="42"/>
  <c r="P28" i="42" s="1"/>
  <c r="O24" i="42"/>
  <c r="P24" i="42" s="1"/>
  <c r="O20" i="42"/>
  <c r="P20" i="42" s="1"/>
  <c r="J17" i="42"/>
  <c r="O62" i="42"/>
  <c r="P62" i="42" s="1"/>
  <c r="O58" i="42"/>
  <c r="P58" i="42" s="1"/>
  <c r="O54" i="42"/>
  <c r="P54" i="42" s="1"/>
  <c r="O50" i="42"/>
  <c r="P50" i="42" s="1"/>
  <c r="O46" i="42"/>
  <c r="P46" i="42" s="1"/>
  <c r="O42" i="42"/>
  <c r="P42" i="42" s="1"/>
  <c r="O38" i="42"/>
  <c r="P38" i="42" s="1"/>
  <c r="O34" i="42"/>
  <c r="P34" i="42" s="1"/>
  <c r="O30" i="42"/>
  <c r="P30" i="42" s="1"/>
  <c r="O26" i="42"/>
  <c r="P26" i="42" s="1"/>
  <c r="O22" i="42"/>
  <c r="P22" i="42" s="1"/>
  <c r="O18" i="42"/>
  <c r="P18" i="42" s="1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H69" i="42"/>
  <c r="L28" i="42" l="1"/>
  <c r="L64" i="42"/>
  <c r="M64" i="42" s="1"/>
  <c r="L52" i="42"/>
  <c r="M52" i="42" s="1"/>
  <c r="L40" i="42"/>
  <c r="M40" i="42" s="1"/>
  <c r="D21" i="34" s="1"/>
  <c r="O65" i="42"/>
  <c r="P17" i="42"/>
  <c r="P65" i="42" s="1"/>
  <c r="C26" i="24" l="1"/>
  <c r="E30" i="1" s="1"/>
  <c r="M28" i="42"/>
  <c r="D45" i="34"/>
  <c r="D47" i="34" s="1"/>
  <c r="E34" i="1" l="1"/>
  <c r="F30" i="1"/>
  <c r="M67" i="42"/>
  <c r="M68" i="42" s="1"/>
  <c r="D20" i="3"/>
  <c r="J61" i="1"/>
  <c r="J37" i="1"/>
  <c r="J81" i="1"/>
  <c r="J101" i="1"/>
  <c r="J179" i="1"/>
  <c r="J159" i="1"/>
  <c r="J121" i="1"/>
  <c r="J140" i="1"/>
  <c r="D54" i="1" l="1"/>
  <c r="F34" i="1"/>
  <c r="G30" i="1" l="1"/>
  <c r="I30" i="1" s="1"/>
  <c r="J30" i="1" s="1"/>
  <c r="G28" i="1"/>
  <c r="I28" i="1" s="1"/>
  <c r="J28" i="1" s="1"/>
  <c r="G27" i="1"/>
  <c r="G31" i="1"/>
  <c r="I31" i="1" s="1"/>
  <c r="J31" i="1" s="1"/>
  <c r="G29" i="1"/>
  <c r="I29" i="1" s="1"/>
  <c r="J29" i="1" s="1"/>
  <c r="G32" i="1"/>
  <c r="I32" i="1" s="1"/>
  <c r="J32" i="1" s="1"/>
  <c r="D58" i="1"/>
  <c r="F54" i="1"/>
  <c r="D74" i="1" l="1"/>
  <c r="F58" i="1"/>
  <c r="I27" i="1"/>
  <c r="G34" i="1"/>
  <c r="G54" i="1" l="1"/>
  <c r="I54" i="1" s="1"/>
  <c r="J54" i="1" s="1"/>
  <c r="G51" i="1"/>
  <c r="G52" i="1"/>
  <c r="I52" i="1" s="1"/>
  <c r="J52" i="1" s="1"/>
  <c r="G56" i="1"/>
  <c r="I56" i="1" s="1"/>
  <c r="J56" i="1" s="1"/>
  <c r="G53" i="1"/>
  <c r="I53" i="1" s="1"/>
  <c r="J53" i="1" s="1"/>
  <c r="G55" i="1"/>
  <c r="I55" i="1" s="1"/>
  <c r="J55" i="1" s="1"/>
  <c r="F74" i="1"/>
  <c r="D78" i="1"/>
  <c r="J27" i="1"/>
  <c r="J34" i="1" s="1"/>
  <c r="J36" i="1" s="1"/>
  <c r="J39" i="1" s="1"/>
  <c r="D34" i="3" s="1"/>
  <c r="I34" i="1"/>
  <c r="D94" i="1" l="1"/>
  <c r="F78" i="1"/>
  <c r="G58" i="1"/>
  <c r="I51" i="1"/>
  <c r="G74" i="1" l="1"/>
  <c r="I74" i="1" s="1"/>
  <c r="J74" i="1" s="1"/>
  <c r="G71" i="1"/>
  <c r="G73" i="1"/>
  <c r="I73" i="1" s="1"/>
  <c r="J73" i="1" s="1"/>
  <c r="G75" i="1"/>
  <c r="I75" i="1" s="1"/>
  <c r="J75" i="1" s="1"/>
  <c r="G76" i="1"/>
  <c r="I76" i="1" s="1"/>
  <c r="J76" i="1" s="1"/>
  <c r="G72" i="1"/>
  <c r="I72" i="1" s="1"/>
  <c r="J72" i="1" s="1"/>
  <c r="F94" i="1"/>
  <c r="D98" i="1"/>
  <c r="I58" i="1"/>
  <c r="J51" i="1"/>
  <c r="J58" i="1" s="1"/>
  <c r="J60" i="1" s="1"/>
  <c r="J63" i="1" s="1"/>
  <c r="D35" i="3" s="1"/>
  <c r="I71" i="1" l="1"/>
  <c r="G78" i="1"/>
  <c r="D114" i="1"/>
  <c r="F98" i="1"/>
  <c r="G94" i="1" s="1"/>
  <c r="I94" i="1" s="1"/>
  <c r="J94" i="1" s="1"/>
  <c r="I78" i="1" l="1"/>
  <c r="J71" i="1"/>
  <c r="J78" i="1" s="1"/>
  <c r="J80" i="1" s="1"/>
  <c r="J83" i="1" s="1"/>
  <c r="D36" i="3" s="1"/>
  <c r="D18" i="3" s="1"/>
  <c r="G95" i="1"/>
  <c r="I95" i="1" s="1"/>
  <c r="J95" i="1" s="1"/>
  <c r="G93" i="1"/>
  <c r="I93" i="1" s="1"/>
  <c r="J93" i="1" s="1"/>
  <c r="G92" i="1"/>
  <c r="I92" i="1" s="1"/>
  <c r="J92" i="1" s="1"/>
  <c r="G96" i="1"/>
  <c r="I96" i="1" s="1"/>
  <c r="J96" i="1" s="1"/>
  <c r="G91" i="1"/>
  <c r="F114" i="1"/>
  <c r="D118" i="1"/>
  <c r="D133" i="1" l="1"/>
  <c r="F118" i="1"/>
  <c r="G98" i="1"/>
  <c r="I91" i="1"/>
  <c r="F133" i="1" l="1"/>
  <c r="D137" i="1"/>
  <c r="I98" i="1"/>
  <c r="J91" i="1"/>
  <c r="J98" i="1" s="1"/>
  <c r="J100" i="1" s="1"/>
  <c r="J103" i="1" s="1"/>
  <c r="D37" i="3" s="1"/>
  <c r="G114" i="1"/>
  <c r="I114" i="1" s="1"/>
  <c r="J114" i="1" s="1"/>
  <c r="G116" i="1"/>
  <c r="I116" i="1" s="1"/>
  <c r="J116" i="1" s="1"/>
  <c r="G111" i="1"/>
  <c r="G112" i="1"/>
  <c r="I112" i="1" s="1"/>
  <c r="J112" i="1" s="1"/>
  <c r="G113" i="1"/>
  <c r="I113" i="1" s="1"/>
  <c r="J113" i="1" s="1"/>
  <c r="G115" i="1"/>
  <c r="I115" i="1" s="1"/>
  <c r="J115" i="1" s="1"/>
  <c r="F137" i="1" l="1"/>
  <c r="D152" i="1"/>
  <c r="G118" i="1"/>
  <c r="I111" i="1"/>
  <c r="F152" i="1" l="1"/>
  <c r="D156" i="1"/>
  <c r="I118" i="1"/>
  <c r="J111" i="1"/>
  <c r="J118" i="1" s="1"/>
  <c r="J120" i="1" s="1"/>
  <c r="J123" i="1" s="1"/>
  <c r="D38" i="3" s="1"/>
  <c r="G133" i="1"/>
  <c r="I133" i="1" s="1"/>
  <c r="J133" i="1" s="1"/>
  <c r="G135" i="1"/>
  <c r="I135" i="1" s="1"/>
  <c r="J135" i="1" s="1"/>
  <c r="G130" i="1"/>
  <c r="G131" i="1"/>
  <c r="I131" i="1" s="1"/>
  <c r="J131" i="1" s="1"/>
  <c r="G134" i="1"/>
  <c r="I134" i="1" s="1"/>
  <c r="J134" i="1" s="1"/>
  <c r="G132" i="1"/>
  <c r="I132" i="1" s="1"/>
  <c r="J132" i="1" s="1"/>
  <c r="D172" i="1" l="1"/>
  <c r="F156" i="1"/>
  <c r="I130" i="1"/>
  <c r="G137" i="1"/>
  <c r="G152" i="1" l="1"/>
  <c r="I152" i="1" s="1"/>
  <c r="J152" i="1" s="1"/>
  <c r="G153" i="1"/>
  <c r="I153" i="1" s="1"/>
  <c r="J153" i="1" s="1"/>
  <c r="G151" i="1"/>
  <c r="I151" i="1" s="1"/>
  <c r="J151" i="1" s="1"/>
  <c r="G149" i="1"/>
  <c r="G150" i="1"/>
  <c r="I150" i="1" s="1"/>
  <c r="J150" i="1" s="1"/>
  <c r="G154" i="1"/>
  <c r="I154" i="1" s="1"/>
  <c r="J154" i="1" s="1"/>
  <c r="J130" i="1"/>
  <c r="J137" i="1" s="1"/>
  <c r="J139" i="1" s="1"/>
  <c r="J142" i="1" s="1"/>
  <c r="D39" i="3" s="1"/>
  <c r="I137" i="1"/>
  <c r="F172" i="1"/>
  <c r="F176" i="1" s="1"/>
  <c r="D176" i="1"/>
  <c r="G172" i="1" l="1"/>
  <c r="I172" i="1" s="1"/>
  <c r="J172" i="1" s="1"/>
  <c r="G173" i="1"/>
  <c r="I173" i="1" s="1"/>
  <c r="J173" i="1" s="1"/>
  <c r="G171" i="1"/>
  <c r="I171" i="1" s="1"/>
  <c r="J171" i="1" s="1"/>
  <c r="G170" i="1"/>
  <c r="I170" i="1" s="1"/>
  <c r="J170" i="1" s="1"/>
  <c r="G174" i="1"/>
  <c r="I174" i="1" s="1"/>
  <c r="J174" i="1" s="1"/>
  <c r="G169" i="1"/>
  <c r="I149" i="1"/>
  <c r="G156" i="1"/>
  <c r="G176" i="1" l="1"/>
  <c r="I169" i="1"/>
  <c r="I156" i="1"/>
  <c r="J149" i="1"/>
  <c r="J156" i="1" s="1"/>
  <c r="J158" i="1" s="1"/>
  <c r="J161" i="1" s="1"/>
  <c r="I176" i="1" l="1"/>
  <c r="J169" i="1"/>
  <c r="J176" i="1" s="1"/>
  <c r="J178" i="1" s="1"/>
  <c r="J181" i="1" s="1"/>
  <c r="H162" i="1"/>
  <c r="D40" i="3"/>
  <c r="H40" i="3" s="1"/>
  <c r="J192" i="1" l="1"/>
  <c r="D41" i="3"/>
  <c r="D44" i="3" s="1"/>
  <c r="D46" i="3" s="1"/>
  <c r="D50" i="34" s="1"/>
  <c r="D52" i="34" s="1"/>
</calcChain>
</file>

<file path=xl/sharedStrings.xml><?xml version="1.0" encoding="utf-8"?>
<sst xmlns="http://schemas.openxmlformats.org/spreadsheetml/2006/main" count="2655" uniqueCount="603">
  <si>
    <t>Capital</t>
  </si>
  <si>
    <t>Weighted</t>
  </si>
  <si>
    <t>Grossed Up</t>
  </si>
  <si>
    <t>Ratio</t>
  </si>
  <si>
    <t>Avg Cost</t>
  </si>
  <si>
    <t>Cost</t>
  </si>
  <si>
    <t>Short Term Debt</t>
  </si>
  <si>
    <t>Long Term Debt</t>
  </si>
  <si>
    <t>Common Equity</t>
  </si>
  <si>
    <t>Total Capital</t>
  </si>
  <si>
    <t>FLORIDA POWER AND LIGHT COST OF CAPITAL</t>
  </si>
  <si>
    <t>I.  FPL Cost of Capital Per Filing</t>
  </si>
  <si>
    <t>SFHHA Rate Base</t>
  </si>
  <si>
    <t>Incremental Grossed Up ROR</t>
  </si>
  <si>
    <t>SFHHA Revenue Requirement Effect</t>
  </si>
  <si>
    <t>Amount</t>
  </si>
  <si>
    <t>Less:</t>
  </si>
  <si>
    <t>Net Change in Rate Base SFHHA Recommendation</t>
  </si>
  <si>
    <t>Adjusted Rate Base SFHHA Recommendation</t>
  </si>
  <si>
    <t>($ MILLIONS)</t>
  </si>
  <si>
    <t>Jurisdictional</t>
  </si>
  <si>
    <t>Customer Deposits</t>
  </si>
  <si>
    <t>Deferred Income Tax</t>
  </si>
  <si>
    <t>Investment Tax Credits</t>
  </si>
  <si>
    <t>Rate</t>
  </si>
  <si>
    <t>Adjusted</t>
  </si>
  <si>
    <t>Sch A-1 and C-44</t>
  </si>
  <si>
    <t>Capital Before</t>
  </si>
  <si>
    <t>Adjustment</t>
  </si>
  <si>
    <t>Jurisdictional Rate Base per FPL Filing</t>
  </si>
  <si>
    <t>Operating Income Adjustments:</t>
  </si>
  <si>
    <t>Rate Base Adjustments:</t>
  </si>
  <si>
    <t>Capital Structure and Rate of Return Adjustments:</t>
  </si>
  <si>
    <t>FLORIDA POWER AND LIGHT</t>
  </si>
  <si>
    <t>Gross-Up</t>
  </si>
  <si>
    <t>Factor</t>
  </si>
  <si>
    <t>See C-44</t>
  </si>
  <si>
    <t>(1)</t>
  </si>
  <si>
    <t>Federal Income Tax Rate</t>
  </si>
  <si>
    <t>State Income Tax Rate</t>
  </si>
  <si>
    <t xml:space="preserve">Bad Debt </t>
  </si>
  <si>
    <t>Regulatory Assessment Fee</t>
  </si>
  <si>
    <t>Grossed up costs include effects of federal and state income taxes, bad debt expense and regulatory assessment fee found on Schedule C-44.</t>
  </si>
  <si>
    <t>Incudes Gross Up Factor</t>
  </si>
  <si>
    <t>Total SFHHA Adjustments</t>
  </si>
  <si>
    <t>Sch C-44 and D-1a</t>
  </si>
  <si>
    <t>SFHHA Recommendation for Base Rate Change</t>
  </si>
  <si>
    <t>REVENUE REQUIREMENT RECOMMENDED BY SFHHA</t>
  </si>
  <si>
    <t>Base Rate Change per FP&amp;L Filing</t>
  </si>
  <si>
    <t>SFHHA Recommendation for Canaveral Step Increase</t>
  </si>
  <si>
    <t>SFHHA RECOMMENDED RATE BASE</t>
  </si>
  <si>
    <t>Eliminate Unamortized Rate Case Expense</t>
  </si>
  <si>
    <t>Adjust ADIT for Rate Base Adjustments</t>
  </si>
  <si>
    <t>Set Return on Equity at 9.0%</t>
  </si>
  <si>
    <t>Reflect Additional ADIT - Bonus Depreciation</t>
  </si>
  <si>
    <t>Grossed Up Rate of Return - As Filed</t>
  </si>
  <si>
    <t>Combined Federal and State Tax Rate - As Filed</t>
  </si>
  <si>
    <t>Balance</t>
  </si>
  <si>
    <t>Month</t>
  </si>
  <si>
    <t>ADIT</t>
  </si>
  <si>
    <t>Amounts</t>
  </si>
  <si>
    <t>Affecting</t>
  </si>
  <si>
    <t>SFHHA ADJUSTMENT IN LIABILITY ADIT IN THE CAPITAL STRUCTURE</t>
  </si>
  <si>
    <t>Every 1% Change</t>
  </si>
  <si>
    <t>BASED UPON CERTAIN RATE BASE CHANGES</t>
  </si>
  <si>
    <t>DOCKET NO. 160021-EI</t>
  </si>
  <si>
    <t>TEST YEAR ENDING DECEMBER 31, 2017</t>
  </si>
  <si>
    <t>TEST YEAR ENDING DECEMBER 31, 2018</t>
  </si>
  <si>
    <t>REVENUE REQUIREMENT RECOMMENDED BY SFHHA - OKEECHOBEE CLEAN ENERGY CENTER</t>
  </si>
  <si>
    <t>TEST YEAR ENDING MAY 31, 2020</t>
  </si>
  <si>
    <t>SFHHA RECOMMENDED RATE BASE - OKEECHOBEE CLEAN ENERGY CENTER</t>
  </si>
  <si>
    <t>SFHHA Recommendation for Base Rate Change (Incremental to 2017 Recommendation)</t>
  </si>
  <si>
    <t>FOR OKEECHOBEE CLEAN ENERGY CENTER</t>
  </si>
  <si>
    <t>1% ROE Change</t>
  </si>
  <si>
    <t>I.  FPL Cost of Capital Per Filing - Okeechobee Clean Energy Center</t>
  </si>
  <si>
    <t>SFHHA Rate Base - Okeechobee</t>
  </si>
  <si>
    <t>STD</t>
  </si>
  <si>
    <t>LTD</t>
  </si>
  <si>
    <t>C.E.</t>
  </si>
  <si>
    <t xml:space="preserve">As Filed </t>
  </si>
  <si>
    <t>Adj 5% To STD</t>
  </si>
  <si>
    <t>FLORIDA PUBLIC SERVICE COMMISSION</t>
  </si>
  <si>
    <t>EXPLANATION:    Provide the specified data on long-term debt</t>
  </si>
  <si>
    <t>Type of Data Shown:</t>
  </si>
  <si>
    <t>       issues on a 13-month average basis for the test year,</t>
  </si>
  <si>
    <r>
      <rPr>
        <u/>
        <sz val="10"/>
        <rFont val="Arial"/>
        <family val="2"/>
      </rPr>
      <t xml:space="preserve">    </t>
    </r>
    <r>
      <rPr>
        <sz val="10"/>
        <rFont val="Arial"/>
        <family val="2"/>
      </rPr>
      <t xml:space="preserve"> Projected Test Year Ended __/__/__</t>
    </r>
  </si>
  <si>
    <t>COMPANY: FLORIDA POWER &amp; LIGHT COMPANY</t>
  </si>
  <si>
    <t>       prior year, and historical base year.</t>
  </si>
  <si>
    <r>
      <rPr>
        <u/>
        <sz val="10"/>
        <rFont val="Arial"/>
        <family val="2"/>
      </rPr>
      <t xml:space="preserve">    </t>
    </r>
    <r>
      <rPr>
        <sz val="10"/>
        <rFont val="Arial"/>
        <family val="2"/>
      </rPr>
      <t xml:space="preserve"> Prior Year Ended __/__/__</t>
    </r>
  </si>
  <si>
    <t>         AND SUBSIDIARIES</t>
  </si>
  <si>
    <t>       Arrange by type of issue (i.e., first mortgage bonds)</t>
  </si>
  <si>
    <r>
      <rPr>
        <u/>
        <sz val="10"/>
        <rFont val="Arial"/>
        <family val="2"/>
      </rPr>
      <t xml:space="preserve">    </t>
    </r>
    <r>
      <rPr>
        <sz val="10"/>
        <rFont val="Arial"/>
        <family val="2"/>
      </rPr>
      <t xml:space="preserve"> Historical Test Year Ended __/__/__</t>
    </r>
  </si>
  <si>
    <r>
      <rPr>
        <u/>
        <sz val="10"/>
        <rFont val="Arial"/>
        <family val="2"/>
      </rPr>
      <t xml:space="preserve"> X </t>
    </r>
    <r>
      <rPr>
        <sz val="10"/>
        <rFont val="Arial"/>
        <family val="2"/>
      </rPr>
      <t xml:space="preserve"> Proj. Subsequent Yr Ended </t>
    </r>
    <r>
      <rPr>
        <u/>
        <sz val="10"/>
        <rFont val="Arial"/>
        <family val="2"/>
      </rPr>
      <t>12/31/18</t>
    </r>
  </si>
  <si>
    <t>DOCKET NO.: 160021-EI</t>
  </si>
  <si>
    <t>     ($000)</t>
  </si>
  <si>
    <t>Witness: Moray P. Dewhurst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</si>
  <si>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</si>
  <si>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</si>
  <si>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</si>
  <si>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</si>
  <si>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</si>
  <si>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</si>
  <si>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</si>
  <si>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</si>
  <si>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</si>
  <si>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</si>
  <si>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</si>
  <si>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</si>
  <si>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Line No.</t>
  </si>
  <si>
    <t>Description/Coupon Rate</t>
  </si>
  <si>
    <t>Issue Date</t>
  </si>
  <si>
    <t>Maturity Date</t>
  </si>
  <si>
    <t>Principal Amount Sold (Face Value)</t>
  </si>
  <si>
    <t>13-Month Average Principal Amt. Outstanding</t>
  </si>
  <si>
    <t>Discount (Premium) on Principal Amount Sold</t>
  </si>
  <si>
    <t>Issuing Expense on Principal Amount Sold</t>
  </si>
  <si>
    <t>Life (Years)</t>
  </si>
  <si>
    <t>Annual Amortization (6+7)/(8)</t>
  </si>
  <si>
    <t>Interest Expense (Coupon Rate) (1) x (5)</t>
  </si>
  <si>
    <t>Total Annual Cost (9)+(10)</t>
  </si>
  <si>
    <t>Unamortized Discount (Premium) Associated with (6)</t>
  </si>
  <si>
    <t>Unamort. Issuing Expense &amp; Loss on Reacquired Debt Associated with (7)</t>
  </si>
  <si>
    <t>1</t>
  </si>
  <si>
    <t>First Mortgage Bonds:</t>
  </si>
  <si>
    <t>2</t>
  </si>
  <si>
    <t>6.50%</t>
  </si>
  <si>
    <t>Nov 2018</t>
  </si>
  <si>
    <t>Nov 2048</t>
  </si>
  <si>
    <t>3</t>
  </si>
  <si>
    <t>6.16%</t>
  </si>
  <si>
    <t>Nov 2017</t>
  </si>
  <si>
    <t>Nov 2047</t>
  </si>
  <si>
    <t>4</t>
  </si>
  <si>
    <t>Mar 2017</t>
  </si>
  <si>
    <t>Mar 2047</t>
  </si>
  <si>
    <t>5</t>
  </si>
  <si>
    <t>2.75%</t>
  </si>
  <si>
    <t>Jun 2013</t>
  </si>
  <si>
    <t>Jun 2023</t>
  </si>
  <si>
    <t>6</t>
  </si>
  <si>
    <t>5.625%</t>
  </si>
  <si>
    <t>Apr 2003</t>
  </si>
  <si>
    <t>Apr 2034</t>
  </si>
  <si>
    <t>7</t>
  </si>
  <si>
    <t>5.4%</t>
  </si>
  <si>
    <t>Sep 2005</t>
  </si>
  <si>
    <t>Oct 2035</t>
  </si>
  <si>
    <t>8</t>
  </si>
  <si>
    <t>5.65%</t>
  </si>
  <si>
    <t>Jan 2006</t>
  </si>
  <si>
    <t>Feb 2037</t>
  </si>
  <si>
    <t>9</t>
  </si>
  <si>
    <t>6.2%</t>
  </si>
  <si>
    <t>Apr 2006</t>
  </si>
  <si>
    <t>Apr 2036</t>
  </si>
  <si>
    <t>10</t>
  </si>
  <si>
    <t>4.95%</t>
  </si>
  <si>
    <t>Jun 2005</t>
  </si>
  <si>
    <t>Jun 2035</t>
  </si>
  <si>
    <t>11</t>
  </si>
  <si>
    <t>5.85%</t>
  </si>
  <si>
    <t>Dec 2002</t>
  </si>
  <si>
    <t>Feb 2033</t>
  </si>
  <si>
    <t>12</t>
  </si>
  <si>
    <t>Apr 2007</t>
  </si>
  <si>
    <t>May 2037</t>
  </si>
  <si>
    <t>13</t>
  </si>
  <si>
    <t>5.95%</t>
  </si>
  <si>
    <t>Jan 2008</t>
  </si>
  <si>
    <t>Feb 2038</t>
  </si>
  <si>
    <t>14</t>
  </si>
  <si>
    <t>5.96%</t>
  </si>
  <si>
    <t>Mar 2009</t>
  </si>
  <si>
    <t>Apr 2039</t>
  </si>
  <si>
    <t>15</t>
  </si>
  <si>
    <t>5.25%</t>
  </si>
  <si>
    <t>Dec 2010</t>
  </si>
  <si>
    <t>Feb 2041</t>
  </si>
  <si>
    <t>16</t>
  </si>
  <si>
    <t>5.69%</t>
  </si>
  <si>
    <t>Feb 2010</t>
  </si>
  <si>
    <t>Feb 2040</t>
  </si>
  <si>
    <t>17</t>
  </si>
  <si>
    <t>5.125%</t>
  </si>
  <si>
    <t>Jun 2011</t>
  </si>
  <si>
    <t>Jun 2041</t>
  </si>
  <si>
    <t>18</t>
  </si>
  <si>
    <t>Jan 2004</t>
  </si>
  <si>
    <t>Feb 2035</t>
  </si>
  <si>
    <t>19</t>
  </si>
  <si>
    <t>Oct 2003</t>
  </si>
  <si>
    <t>Oct 2033</t>
  </si>
  <si>
    <t>20</t>
  </si>
  <si>
    <t>4.125%</t>
  </si>
  <si>
    <t>Dec 2011</t>
  </si>
  <si>
    <t>Feb 2042</t>
  </si>
  <si>
    <t>21</t>
  </si>
  <si>
    <t>3.8%</t>
  </si>
  <si>
    <t>Dec 2012</t>
  </si>
  <si>
    <t>Dec 2042</t>
  </si>
  <si>
    <t>22</t>
  </si>
  <si>
    <t>4.05%</t>
  </si>
  <si>
    <t>May 2012</t>
  </si>
  <si>
    <t>Jun 2042</t>
  </si>
  <si>
    <t>23</t>
  </si>
  <si>
    <t>Sep 2014</t>
  </si>
  <si>
    <t>Oct 2044</t>
  </si>
  <si>
    <t>24</t>
  </si>
  <si>
    <t>3.25%</t>
  </si>
  <si>
    <t>May 2014</t>
  </si>
  <si>
    <t>Jun 2024</t>
  </si>
  <si>
    <t>25</t>
  </si>
  <si>
    <t>3.85%</t>
  </si>
  <si>
    <t>Nov 2015</t>
  </si>
  <si>
    <t>Nov 2025</t>
  </si>
  <si>
    <t>26</t>
  </si>
  <si>
    <t>4.75%</t>
  </si>
  <si>
    <t>Mar 2016</t>
  </si>
  <si>
    <t>Mar 2046</t>
  </si>
  <si>
    <t>27</t>
  </si>
  <si>
    <t>6.69%</t>
  </si>
  <si>
    <t>Feb 2018</t>
  </si>
  <si>
    <t>Feb 2048</t>
  </si>
  <si>
    <t>28</t>
  </si>
  <si>
    <t>29</t>
  </si>
  <si>
    <t>Storm Securitization Bonds:</t>
  </si>
  <si>
    <t>30</t>
  </si>
  <si>
    <t>5.256%</t>
  </si>
  <si>
    <t>May 2007</t>
  </si>
  <si>
    <t>Aug 2019</t>
  </si>
  <si>
    <t>Supporting Schedules: D-4b</t>
  </si>
  <si>
    <t>Recap Schedules: D-1a</t>
  </si>
  <si>
    <t>Term Loans:</t>
  </si>
  <si>
    <t>Var Term Loan</t>
  </si>
  <si>
    <t>Unsecured Pollution Control and Industrial Development Bonds:</t>
  </si>
  <si>
    <t>Var Broward County</t>
  </si>
  <si>
    <t>Jun 2015</t>
  </si>
  <si>
    <t>Jun 2045</t>
  </si>
  <si>
    <t>Var Dade County</t>
  </si>
  <si>
    <t>Aug 1991</t>
  </si>
  <si>
    <t>Feb 2023</t>
  </si>
  <si>
    <t>Dec 1993</t>
  </si>
  <si>
    <t>Jun 2021</t>
  </si>
  <si>
    <t>Var Jacksonville</t>
  </si>
  <si>
    <t>Mar 1994</t>
  </si>
  <si>
    <t>Sep 2024</t>
  </si>
  <si>
    <t>Var Manatee</t>
  </si>
  <si>
    <t>Var Putnam</t>
  </si>
  <si>
    <t>May 1992</t>
  </si>
  <si>
    <t>May 2027</t>
  </si>
  <si>
    <t>Mar 1995</t>
  </si>
  <si>
    <t>Apr 2020</t>
  </si>
  <si>
    <t>Jun 1995</t>
  </si>
  <si>
    <t>May 2029</t>
  </si>
  <si>
    <t>Var Martin</t>
  </si>
  <si>
    <t>Apr 2000</t>
  </si>
  <si>
    <t>Jul 2022</t>
  </si>
  <si>
    <t>Var St. Lucie</t>
  </si>
  <si>
    <t>Sep 2000</t>
  </si>
  <si>
    <t>Sep 2028</t>
  </si>
  <si>
    <t>May 2003</t>
  </si>
  <si>
    <t>May 2024</t>
  </si>
  <si>
    <t>Gain/Loss on Reacquired Debt</t>
  </si>
  <si>
    <t/>
  </si>
  <si>
    <t>Total</t>
  </si>
  <si>
    <t>Less Unamortized Premium, Discount, Issue</t>
  </si>
  <si>
    <t>and Loss Col (12) + (13)</t>
  </si>
  <si>
    <t>Net</t>
  </si>
  <si>
    <t>Embedded Cost of Long-Term Debt Col (11)/Net</t>
  </si>
  <si>
    <t>See Response to Staff Int 4-27</t>
  </si>
  <si>
    <t>Outstanding Excl Storm Secur</t>
  </si>
  <si>
    <t>Unamortized Costs Excl Storm Secur</t>
  </si>
  <si>
    <t>Unamortized Prepaid Commitment Fees</t>
  </si>
  <si>
    <t>Annual Cost Excl Storm Secur</t>
  </si>
  <si>
    <t>Amort of Loss on Reacq Debt</t>
  </si>
  <si>
    <r>
      <rPr>
        <u/>
        <sz val="10"/>
        <rFont val="Arial"/>
        <family val="2"/>
      </rPr>
      <t xml:space="preserve"> X  </t>
    </r>
    <r>
      <rPr>
        <sz val="10"/>
        <rFont val="Arial"/>
        <family val="2"/>
      </rPr>
      <t xml:space="preserve"> Projected Test Year Ended  </t>
    </r>
    <r>
      <rPr>
        <u/>
        <sz val="10"/>
        <rFont val="Arial"/>
        <family val="2"/>
      </rPr>
      <t>12/31/17</t>
    </r>
  </si>
  <si>
    <r>
      <rPr>
        <u/>
        <sz val="10"/>
        <rFont val="Arial"/>
        <family val="2"/>
      </rPr>
      <t xml:space="preserve">     </t>
    </r>
    <r>
      <rPr>
        <sz val="10"/>
        <rFont val="Arial"/>
        <family val="2"/>
      </rPr>
      <t xml:space="preserve"> Prior Year Ended __/__/__</t>
    </r>
  </si>
  <si>
    <r>
      <rPr>
        <u/>
        <sz val="10"/>
        <rFont val="Arial"/>
        <family val="2"/>
      </rPr>
      <t xml:space="preserve">     </t>
    </r>
    <r>
      <rPr>
        <sz val="10"/>
        <rFont val="Arial"/>
        <family val="2"/>
      </rPr>
      <t xml:space="preserve"> Historical Test Year Ended __/__/__</t>
    </r>
  </si>
  <si>
    <t>5.55%</t>
  </si>
  <si>
    <t>Oct 2007</t>
  </si>
  <si>
    <t xml:space="preserve"> Supporting Schedules: D-4b</t>
  </si>
  <si>
    <t>II.  FPL Cost of Capital Adjusted to Reflect Updated ADIT</t>
  </si>
  <si>
    <t>Restate STD Commitment Fees as Operating Expense</t>
  </si>
  <si>
    <t>Adjust Capital Structure - 55% Common Equity</t>
  </si>
  <si>
    <t>Function</t>
  </si>
  <si>
    <t>SFHHA REDUCTION TO DEPRECIATION EXPENSE TO INCREASE REMAINING LIFE BY 1 YEAR</t>
  </si>
  <si>
    <t>Steam</t>
  </si>
  <si>
    <t>Nuclear</t>
  </si>
  <si>
    <t>Combined Cycle</t>
  </si>
  <si>
    <t>Peaker Plants</t>
  </si>
  <si>
    <t>Solar</t>
  </si>
  <si>
    <t>Proposed</t>
  </si>
  <si>
    <t>Depr Rate</t>
  </si>
  <si>
    <t>Transmission</t>
  </si>
  <si>
    <t>Distribution</t>
  </si>
  <si>
    <t>General</t>
  </si>
  <si>
    <t>Total All</t>
  </si>
  <si>
    <t xml:space="preserve">Composite </t>
  </si>
  <si>
    <t>Remaining Life</t>
  </si>
  <si>
    <t>FP&amp;L</t>
  </si>
  <si>
    <t>SFHHA</t>
  </si>
  <si>
    <t>Reduction</t>
  </si>
  <si>
    <t>Plant</t>
  </si>
  <si>
    <t>2017 TY</t>
  </si>
  <si>
    <t>Sch B-8</t>
  </si>
  <si>
    <t>Total Company</t>
  </si>
  <si>
    <t>Depr Expense</t>
  </si>
  <si>
    <t>Sch C-4</t>
  </si>
  <si>
    <t xml:space="preserve">Separation </t>
  </si>
  <si>
    <t xml:space="preserve">   Total Other Production</t>
  </si>
  <si>
    <t>Other Production</t>
  </si>
  <si>
    <t>Life</t>
  </si>
  <si>
    <t>Check on Sch B-8</t>
  </si>
  <si>
    <t>Dist - Clauses</t>
  </si>
  <si>
    <t>Intang</t>
  </si>
  <si>
    <t>Scherer Acq Adj</t>
  </si>
  <si>
    <t>Total Depr Plant</t>
  </si>
  <si>
    <t>Gen Plant ECCR</t>
  </si>
  <si>
    <t>Gen Plant Trans Clauses</t>
  </si>
  <si>
    <t>2018 TY</t>
  </si>
  <si>
    <t>Total Other Production</t>
  </si>
  <si>
    <t>Base Rate Change from Present Rates per FP&amp;L Filing - Includes YTD Costs</t>
  </si>
  <si>
    <t>SFHHA Recommendation for Base Rate Change Based on 2017 Test Year</t>
  </si>
  <si>
    <t>SFHHA Recommendation for Base Rate Change Based on 2018 Test Year</t>
  </si>
  <si>
    <t>Remove Accrued Revenues from Cash Working Capital</t>
  </si>
  <si>
    <t>Okeechobee Step Increase per FP&amp;L Filing</t>
  </si>
  <si>
    <t>Removal of ECRC Amounts by Function and Type of Production - See Schedule B-8</t>
  </si>
  <si>
    <t>Steam Production</t>
  </si>
  <si>
    <t xml:space="preserve">  Manatee Gas Reburn ECRC</t>
  </si>
  <si>
    <t xml:space="preserve">  Scherer Unit 4 Baghouse ECRC</t>
  </si>
  <si>
    <t>13 Month Avg</t>
  </si>
  <si>
    <t xml:space="preserve">  SJRPP Unit 1 SCR ECRC </t>
  </si>
  <si>
    <t xml:space="preserve">  SJRPP Unit 2 SCR ECRC </t>
  </si>
  <si>
    <t xml:space="preserve">  Steam Plant ECRC</t>
  </si>
  <si>
    <t>Source:  Gannett Fleming Depreciation Study page vi and VI 8-16, Sch B-8 - Plant Amounts exclude ECRC Costs</t>
  </si>
  <si>
    <t>Total Steam Production ECRC</t>
  </si>
  <si>
    <t>Nuclear Plant ECRC</t>
  </si>
  <si>
    <t xml:space="preserve">  Desoto Solar ECRC</t>
  </si>
  <si>
    <t xml:space="preserve">  Martin Solar ECRC</t>
  </si>
  <si>
    <t xml:space="preserve">  Other Production ECRC</t>
  </si>
  <si>
    <t xml:space="preserve">  Space Coast Solar ECRC</t>
  </si>
  <si>
    <t>Gas Reserves FCR - Depletion</t>
  </si>
  <si>
    <t>Transmission ECRC</t>
  </si>
  <si>
    <t xml:space="preserve">General Plant ECRC </t>
  </si>
  <si>
    <t>Total ECRC</t>
  </si>
  <si>
    <t>W/O</t>
  </si>
  <si>
    <t>Gross Up</t>
  </si>
  <si>
    <t>Reflect End of Life Nuclear Fuel and Materials and Supplies in Decommissiong</t>
  </si>
  <si>
    <t xml:space="preserve">Extend Capital Amortization Period for Retired Plant Costs to 10 Years </t>
  </si>
  <si>
    <t>Remove 0.50% Return on Equity Incentive</t>
  </si>
  <si>
    <t>III.  FPL Cost of Capital Adjusted to Remove FPL Request for an ROE Incentive of 0.50%</t>
  </si>
  <si>
    <t>for 2018 Test Year</t>
  </si>
  <si>
    <t>IV.  FPL Cost of Capital Adjusted to Restate ROE at 9.0% as Recommended by Mr. Baudino</t>
  </si>
  <si>
    <t>Base Revenue Requirement</t>
  </si>
  <si>
    <t xml:space="preserve">Grossed up costs include effects of federal and state income taxes, bad debt expense and regulatory assessment fee found </t>
  </si>
  <si>
    <t xml:space="preserve"> on Schedule C-44.</t>
  </si>
  <si>
    <t>Reduce Depreciation Expense</t>
  </si>
  <si>
    <t>See Schedule B-2  page 3 line 22  100% Jurisdictional</t>
  </si>
  <si>
    <t>See Schedule B-6  page 10 line 34 and SFHHA 5-132 and 5-133</t>
  </si>
  <si>
    <t>Jurisd % = 96.7454%</t>
  </si>
  <si>
    <t>See Schedule B-6  page 11 line 8 and SFHHA 5-132 and 5-133</t>
  </si>
  <si>
    <t>Jurisd % = 96.8204%</t>
  </si>
  <si>
    <t>II.  FPL Cost of Capital Adjusted to Reflect Updated ADIT for Changes to Rate Base</t>
  </si>
  <si>
    <t>Correct Company's Allocation Methodology for ADIT - Treasury Reg 1.67(l)-1(h)(6)</t>
  </si>
  <si>
    <t>Correct Company Admitted Error for Balance of Deferred Pension Debit</t>
  </si>
  <si>
    <t>III.  FPL Cost of Capital Adjusted to Correct Allocation Methodology for the Reduction of ADIT - Treasury Reg 1.167(l)-1(h)(6)</t>
  </si>
  <si>
    <t>IV.  FPL Cost of Capital Adjusted to Reflect STD Commitment Fees as Operating Expense</t>
  </si>
  <si>
    <t>ADIT Adjustment</t>
  </si>
  <si>
    <t>As Filed and Adjusted Above</t>
  </si>
  <si>
    <t>IV.  FPL Cost of Capital Adjusted to Reflect STD Commitment Fees as Operating Expense - Same as 2017</t>
  </si>
  <si>
    <t>Reduce Injuries and Damages Expense</t>
  </si>
  <si>
    <t>Testimony Describes Quantification</t>
  </si>
  <si>
    <t>Source:  Schedule B-21</t>
  </si>
  <si>
    <t>TEST YEAR ENDING DECEMBER 31, 2017 AND 2018</t>
  </si>
  <si>
    <t>Amortization Period in Years</t>
  </si>
  <si>
    <t>SFHHA REDUCTION IN INJURIES AND DAMAGES EXPENSE TO AMORTIZE EXCESS RESERVE BALANCE</t>
  </si>
  <si>
    <t>Total Company Reduction in Expense Due to Amortization of Excess Reserve</t>
  </si>
  <si>
    <t>Revenue Requirement Increase to Rate Base</t>
  </si>
  <si>
    <t>Jurisdictional Reduction in Expense Due to Amortization of Excess Reserve</t>
  </si>
  <si>
    <t>Increase in Rate Base - Jurisdictional</t>
  </si>
  <si>
    <t>Jurisdictional Percentage - Sch B-6 page 11 and C-4 page 9</t>
  </si>
  <si>
    <r>
      <t xml:space="preserve">Account 228.2 Injuries and Damages Excess Reserve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alance - Total Company</t>
    </r>
  </si>
  <si>
    <t>Total Co</t>
  </si>
  <si>
    <t xml:space="preserve">13 Month </t>
  </si>
  <si>
    <t>Avg</t>
  </si>
  <si>
    <t>Total Company As Filed 13 Month Rate Base - See Sch B-9</t>
  </si>
  <si>
    <t>See B-17 for Jurisdictional Amount in Account 173</t>
  </si>
  <si>
    <t>Amortize Injuries and Damages Excess Reserve Balance Over 4 Years</t>
  </si>
  <si>
    <t xml:space="preserve">Annual Expense Accrual </t>
  </si>
  <si>
    <t>Annual Wtd Cost of Capital</t>
  </si>
  <si>
    <t>Annual Grossed Up COC</t>
  </si>
  <si>
    <t>Incr In</t>
  </si>
  <si>
    <t>Net of Tx</t>
  </si>
  <si>
    <t>Reserve</t>
  </si>
  <si>
    <t>Monthly</t>
  </si>
  <si>
    <t>Increase</t>
  </si>
  <si>
    <t>Res + Prior</t>
  </si>
  <si>
    <t>Net of ADIT</t>
  </si>
  <si>
    <t>Return</t>
  </si>
  <si>
    <t>Amort</t>
  </si>
  <si>
    <t>In Reserve</t>
  </si>
  <si>
    <t>Month Ret</t>
  </si>
  <si>
    <t>13 Mo Avg</t>
  </si>
  <si>
    <t>On</t>
  </si>
  <si>
    <t>SFHHA ADJUSTMENT TO DISMANTLEMENT RESERVE</t>
  </si>
  <si>
    <t>NPV</t>
  </si>
  <si>
    <t>Year</t>
  </si>
  <si>
    <t>($ 000's)</t>
  </si>
  <si>
    <t>Levelize Return on Dismantlement Reserve Amortization</t>
  </si>
  <si>
    <t>SFHHA REDUCTION IN EOL MATERIALS &amp; SUPPLIES AND NUCLEAR FUEL LAST CORE EXPENSE</t>
  </si>
  <si>
    <t>INCLUDING AMORTIZATION OF EXCESS RESERVE BALANCE</t>
  </si>
  <si>
    <r>
      <t xml:space="preserve">Account 228.4 EOL M&amp;S Inventory Excess Reserve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alance - Total Company</t>
    </r>
  </si>
  <si>
    <r>
      <t xml:space="preserve">Account 228.4 Nuclear Last Core Excess Reserve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alance - Total Company</t>
    </r>
  </si>
  <si>
    <t>Remove Current Year Accrual - EOL M&amp;S Inventory - Total Company</t>
  </si>
  <si>
    <t>Remove Current Year Accrual - Nuclear Last Core - Total Company</t>
  </si>
  <si>
    <t>Total Expense Reduction - Total Company</t>
  </si>
  <si>
    <t>Jurisdictional Reduction in Expense</t>
  </si>
  <si>
    <t>Amortize End of Life M&amp;S Inv and Nuclear Last Core Excess Reserve Balance Over 4 Years</t>
  </si>
  <si>
    <t>Jurisdictional Percentage - Sch C-4 page 4</t>
  </si>
  <si>
    <t>Remove Depreciation Expense Increase Based on Depreciation Study Proposed Rates</t>
  </si>
  <si>
    <t>See Sch C-2</t>
  </si>
  <si>
    <t>See Schedule B-2 Page 3 Line 9</t>
  </si>
  <si>
    <t>Grossed Up rate of Return</t>
  </si>
  <si>
    <t>Return on Increased Rate Base</t>
  </si>
  <si>
    <t>Increase in Rate Base at End of 2017 - Accum Depr</t>
  </si>
  <si>
    <t>Estimated 13 Month Avg Using Midway Point</t>
  </si>
  <si>
    <t>Total Increase by End of 2017</t>
  </si>
  <si>
    <t>Estimated Revenue Requirement Effect</t>
  </si>
  <si>
    <t>Increase in Rate Base at End of 2018 - Accum Depr</t>
  </si>
  <si>
    <t>Increase in ADIT for 2017</t>
  </si>
  <si>
    <t>Total Increase by End of 2018</t>
  </si>
  <si>
    <t>Total 2017</t>
  </si>
  <si>
    <t xml:space="preserve">Estimated Revenue Requirement Effect </t>
  </si>
  <si>
    <t>Increase/(Reduction) in Liability ADIT in Capital Structure</t>
  </si>
  <si>
    <t>SFHHA REDUCTION IN CAPITAL RECOVERY AMORTIZATION TO AMORTIZE OVER 10 YEARS</t>
  </si>
  <si>
    <t>Total Company - Base Revenues - Total Unrecovered Costs</t>
  </si>
  <si>
    <t>As Filed - Total Company Amortization Over 4 Years</t>
  </si>
  <si>
    <t>As-Filed Amortization Period</t>
  </si>
  <si>
    <t xml:space="preserve">As Filed Jurisdictional Percentage </t>
  </si>
  <si>
    <t>As Filed Amortization For Adjustment</t>
  </si>
  <si>
    <t>Source:  Exhibit KF-3 - Sch C-2 and Sch C-3</t>
  </si>
  <si>
    <t>SFHHA Recommended Amortization Period</t>
  </si>
  <si>
    <t>SFHHA Recommended  - Total Company Amortization Over 10 Years</t>
  </si>
  <si>
    <t>SFHHA Recommended Reduction in Amortization Expense</t>
  </si>
  <si>
    <t xml:space="preserve">Increase Rate Base to Reflect Extended Amortization of Capital Recovery Costs </t>
  </si>
  <si>
    <t>Reduce Accumulated Depreciation to Reflect Depreciation Expense Reduction</t>
  </si>
  <si>
    <t>Reduce Accumulated Fossil Dismantling to Refect Dismantling Expense Reduction</t>
  </si>
  <si>
    <t>Total Revenue Requirement Reduction</t>
  </si>
  <si>
    <t>SFHHA REDUCTION IN DISMANTLING COSTS TO REMOVE 20% CONTIGENCY</t>
  </si>
  <si>
    <t xml:space="preserve">Source:  Exhibit KF-5 And Dismantling Study </t>
  </si>
  <si>
    <t>Total Proposed Accrual for 2017 and 2018</t>
  </si>
  <si>
    <t>SFHHA Recommended Accrual to Remove 20% Contingency</t>
  </si>
  <si>
    <t>Reduction in Contingency Accrual - Total Company</t>
  </si>
  <si>
    <t xml:space="preserve">Reduction in Contingency Accrual - Jurisdictional </t>
  </si>
  <si>
    <t>Total Proposed Accrual for 2017 and 2018 - Scherer</t>
  </si>
  <si>
    <t>Remove 20% Contingency Included for all Plants</t>
  </si>
  <si>
    <t>As-Filed 22 Years Recovery Period</t>
  </si>
  <si>
    <t>Total Expense Throughout Recovery Period</t>
  </si>
  <si>
    <t>Recommended Proposed Accrual</t>
  </si>
  <si>
    <t xml:space="preserve">Less 20% Contingency Removed in Separate Adjustment </t>
  </si>
  <si>
    <t>Reduction in Accrual - Total Company</t>
  </si>
  <si>
    <t xml:space="preserve">Reduction in Accrual - Jurisdictional </t>
  </si>
  <si>
    <t>St Johns River</t>
  </si>
  <si>
    <t>Reduce Fossil Dismantlement Expense to Remove 20% Contingency</t>
  </si>
  <si>
    <t>Reduce Fossil Dismantlement Expense to Extend Lives for Scherer 4 and St. Johns River</t>
  </si>
  <si>
    <t>Total Reduction in Annual Accrual</t>
  </si>
  <si>
    <t>Reduce Accumulated Fossil Dismantling to Reflect Dismantling Expense Reductions</t>
  </si>
  <si>
    <t>Depreciation - Primary</t>
  </si>
  <si>
    <t>Increase in ADIT at 38.575%</t>
  </si>
  <si>
    <t xml:space="preserve">SFHHA REDUCTION TO DEPRECIATION EXPENSE TO COMBINE ALL ACCOUNT 343 - PRIME MOVERS </t>
  </si>
  <si>
    <t>Lauderdale-Common</t>
  </si>
  <si>
    <t>Lauderdale-Unit 4</t>
  </si>
  <si>
    <t>Lauderdale-Unit 5</t>
  </si>
  <si>
    <t>Source: Depr Study VI-10 through VI-15</t>
  </si>
  <si>
    <t>Future</t>
  </si>
  <si>
    <t>Accruals</t>
  </si>
  <si>
    <t>Acct 343 - Prime Movers-General</t>
  </si>
  <si>
    <t>Rem</t>
  </si>
  <si>
    <t>Original</t>
  </si>
  <si>
    <t>Annual</t>
  </si>
  <si>
    <t>Depr</t>
  </si>
  <si>
    <t>As-Filed</t>
  </si>
  <si>
    <t xml:space="preserve">   Sub Total</t>
  </si>
  <si>
    <t>Account</t>
  </si>
  <si>
    <t>Total Acct 343</t>
  </si>
  <si>
    <t>Acct 343 - Prime Movers-Cap Spare Parts</t>
  </si>
  <si>
    <t>Accum</t>
  </si>
  <si>
    <t>NBV</t>
  </si>
  <si>
    <t>Ft Meyers-Common</t>
  </si>
  <si>
    <t>Ft Meyers-Unit 2</t>
  </si>
  <si>
    <t>Ft Meyers-Unit 3</t>
  </si>
  <si>
    <t>Manatee Unit 3</t>
  </si>
  <si>
    <t>Martin-Common</t>
  </si>
  <si>
    <t>Martin-Unit 3</t>
  </si>
  <si>
    <t>Martin-Unit 4</t>
  </si>
  <si>
    <t>Martin-Unit 8</t>
  </si>
  <si>
    <t>Sanford-Unit 4</t>
  </si>
  <si>
    <t>Sanford-Unit 5</t>
  </si>
  <si>
    <t>Turket Pt - Unit 5</t>
  </si>
  <si>
    <t>West County-Common</t>
  </si>
  <si>
    <t>West County-Unit 1</t>
  </si>
  <si>
    <t>West County-Unit 2</t>
  </si>
  <si>
    <t>West County-Unit 3</t>
  </si>
  <si>
    <t>Cape Canaveral</t>
  </si>
  <si>
    <t>Riviera</t>
  </si>
  <si>
    <t>Pt Everglades</t>
  </si>
  <si>
    <t>Lauderdale-GTS</t>
  </si>
  <si>
    <t>Peakers</t>
  </si>
  <si>
    <t>Ft Meyers GTS</t>
  </si>
  <si>
    <t>Lauder&amp; Ft Mey Peak</t>
  </si>
  <si>
    <t>Total Company Reduction in Expense</t>
  </si>
  <si>
    <t>Jurisdictional Allocation %</t>
  </si>
  <si>
    <t>Gross</t>
  </si>
  <si>
    <t xml:space="preserve">Allocation </t>
  </si>
  <si>
    <t xml:space="preserve">SFHHA REDUCTION TO DEPRECIATION EXPENSE TO REALLOCATE RESERVE BASED ON GROSS PLANT FOR ALL ACCOUNT 343 - PRIME MOVERS </t>
  </si>
  <si>
    <t>SFHHA REDUCTION TO DEPRECIATION EXPENSE TO RESTATE REMAINING LIVES FOR SCHERER UNIT 4 AND SJRPP STEAM PLANTS</t>
  </si>
  <si>
    <t>Source: Depr Study VI-6 through VI-8</t>
  </si>
  <si>
    <t>Scherer Unit 4</t>
  </si>
  <si>
    <t>Total All Accounts</t>
  </si>
  <si>
    <t>Composite</t>
  </si>
  <si>
    <t>Remaining</t>
  </si>
  <si>
    <t>Additional</t>
  </si>
  <si>
    <t>Years</t>
  </si>
  <si>
    <t>SJRPP - All Units</t>
  </si>
  <si>
    <t>Reduction In Depreciation Expense</t>
  </si>
  <si>
    <t>SFHHA Recommended Life Extension of 13 Years</t>
  </si>
  <si>
    <t>SFHHA Recommended Life Extension of 14 Years</t>
  </si>
  <si>
    <t>As</t>
  </si>
  <si>
    <t>Filed</t>
  </si>
  <si>
    <t>Using 9%</t>
  </si>
  <si>
    <t>By Company</t>
  </si>
  <si>
    <t>Sect 199</t>
  </si>
  <si>
    <t xml:space="preserve">Assume pre-tax income of </t>
  </si>
  <si>
    <t>Net Pretax Subtotal</t>
  </si>
  <si>
    <t>Taxable income for Federal income tax before production credit</t>
  </si>
  <si>
    <t xml:space="preserve">     Manufacturing Deduction Rate</t>
  </si>
  <si>
    <t xml:space="preserve">     Allocation to Production Inc.</t>
  </si>
  <si>
    <t xml:space="preserve">     Allocated Manaufacturing Deduction Rate</t>
  </si>
  <si>
    <t xml:space="preserve">Less: Manufacturing Deduction </t>
  </si>
  <si>
    <t>Taxable income for Federal income tax (Line 3 - Line 4)</t>
  </si>
  <si>
    <t>Regulatory Assessment</t>
  </si>
  <si>
    <t>Bad Debt Rate</t>
  </si>
  <si>
    <t xml:space="preserve">Federal income tax at 35% </t>
  </si>
  <si>
    <t>Revenue Expansion Factor</t>
  </si>
  <si>
    <t>Section 199 Production Tax Deduction</t>
  </si>
  <si>
    <t>State</t>
  </si>
  <si>
    <t>Taxable income for State Income Tax before Production Credit</t>
  </si>
  <si>
    <t>Plant in Service - Steam</t>
  </si>
  <si>
    <t>Plant in Service - Nuclear</t>
  </si>
  <si>
    <t>Plant in Service - Other Production</t>
  </si>
  <si>
    <t>Total Prodcution Net Plant</t>
  </si>
  <si>
    <t>Total Net Plant</t>
  </si>
  <si>
    <t>Accum Depr - Production Total</t>
  </si>
  <si>
    <t>$ Millions</t>
  </si>
  <si>
    <t>% Production</t>
  </si>
  <si>
    <t>Allocation to Production - See Schedule E-3a (Total Retail)</t>
  </si>
  <si>
    <t>Taxable income for State income tax (Line 3 - Line 4)</t>
  </si>
  <si>
    <t>State income tax  (See Below)</t>
  </si>
  <si>
    <t xml:space="preserve">State Income Tax Rate </t>
  </si>
  <si>
    <t xml:space="preserve">ALL TEST YEARS </t>
  </si>
  <si>
    <t>Okeechobee</t>
  </si>
  <si>
    <t>Applicable Rate Base Changes</t>
  </si>
  <si>
    <t>Total Applicable Rate Base Changes Recommended by SFHHA</t>
  </si>
  <si>
    <t>SFHHA REDUCTION IN RATE BASE TO REMOVE NUCLEAR FUEL IN PROCESS ACCT 120.1</t>
  </si>
  <si>
    <t>TEST YEARS ENDING DECEMBER 31, 2017 AND 2018</t>
  </si>
  <si>
    <t>Source:  Schedules B-1 and B-16</t>
  </si>
  <si>
    <t>Total Nuclear Fuel in Process - Acct 120.1 - 13 Month Avg.</t>
  </si>
  <si>
    <t>Jurisdictional %</t>
  </si>
  <si>
    <t>Jurisdictional NFIP to Remove from Rate Base</t>
  </si>
  <si>
    <t>Remove Nuclear Fuel in Process From Rate Base</t>
  </si>
  <si>
    <t>SFHHA REDUCTION TO DEPRECIATION EXPENSE FOR OKEECHOBEE CLEAN ENERGY CENTER</t>
  </si>
  <si>
    <t>Total Plant in Service as Filed - Jurisdictional</t>
  </si>
  <si>
    <t xml:space="preserve">Depreciation Expense </t>
  </si>
  <si>
    <t>As Filed Depreciation Expense - Jurisdictional</t>
  </si>
  <si>
    <t>Reduction in Depreciation Expense</t>
  </si>
  <si>
    <t>Decrease in Accumulated Depreciation and Increase in Rate Base</t>
  </si>
  <si>
    <t>Reflect Accum Depr and ADIT Effects of Depreciation Expense Reduction</t>
  </si>
  <si>
    <t xml:space="preserve">V.  FPL Cost of Capital Adjusted to Reflect Capital Structure Recommended by SFHHA in </t>
  </si>
  <si>
    <t>Adjust Capital Structure - 55% Common Equity and Add Short Term Debt</t>
  </si>
  <si>
    <t>Adjust STD Rate to 0.56%</t>
  </si>
  <si>
    <t>VII.  FPL Cost of Capital Adjusted to Remove FPL Request for an ROE Incentive of 0.50%</t>
  </si>
  <si>
    <t>VIII.  FPL Cost of Capital Adjusted to Restate ROE at 9.0% as Recommended by Mr. Baudino</t>
  </si>
  <si>
    <t xml:space="preserve">IX.  FPL Cost of Capital Adjusted to Reflect 55% Common Equity </t>
  </si>
  <si>
    <t xml:space="preserve">V.  FPL Cost of Capital Adjusted to Reflect STD Rate of 0.56% </t>
  </si>
  <si>
    <t>Revenue Req. Reduction for SFHHA Recommended Removal of NFIP</t>
  </si>
  <si>
    <t>Rate Base</t>
  </si>
  <si>
    <t>Remove Rate Case Expense Amortization</t>
  </si>
  <si>
    <t>See Sch C-10</t>
  </si>
  <si>
    <t>Correct ADIT for Woodford Project and Other Gas Reserves - FPL Third Notice</t>
  </si>
  <si>
    <t>SFHHA CORRECTION OF REVENUE EXPANSION FACTOR TO INCLUDE SECTION 199 MANUFACTURER'S DEDUCTION</t>
  </si>
  <si>
    <t xml:space="preserve">2.5% Based on 40 Year Life Span </t>
  </si>
  <si>
    <t>48 Levelized Monthly Payments</t>
  </si>
  <si>
    <t>Annual Payment</t>
  </si>
  <si>
    <t>Nominal</t>
  </si>
  <si>
    <t>Incr in Res</t>
  </si>
  <si>
    <t>Compared</t>
  </si>
  <si>
    <t>to</t>
  </si>
  <si>
    <t>Filing</t>
  </si>
  <si>
    <t>VI.  FPL Cost of Capital Adjusted to Reflect LTD New Issues at 4.1%</t>
  </si>
  <si>
    <t>Adjust LTD Rate to 4.1% for New Issues</t>
  </si>
  <si>
    <t xml:space="preserve">II.  FPL Cost of Capital Adjusted to Reflect LTD New Issues at 4.1% - Matches LTD Debt Cost Computed </t>
  </si>
  <si>
    <t>SFHHA REDUCTION IN DISMANTLING COSTS TO EXTEND LIVES FOR SHERER 4 and SJRPP</t>
  </si>
  <si>
    <t>Scherer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</si>
</sst>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"/>
    <numFmt numFmtId="166" formatCode="General;;"/>
    <numFmt numFmtId="167" formatCode="_(* #,##0.00000_);_(* \(#,##0.00000\);_(* &quot;-&quot;??_);_(@_)"/>
    <numFmt numFmtId="168" formatCode="0.00000%"/>
    <numFmt numFmtId="169" formatCode="&quot;$&quot;#,##0.000_);\(&quot;$&quot;#,##0.000\)"/>
    <numFmt numFmtId="170" formatCode="_(* #,##0.000_);_(* \(#,##0.000\);_(* &quot;-&quot;??_);_(@_)"/>
    <numFmt numFmtId="171" formatCode="_(&quot;$&quot;* #,##0.000_);_(&quot;$&quot;* \(#,##0.000\);_(&quot;$&quot;* &quot;-&quot;??_);_(@_)"/>
    <numFmt numFmtId="172" formatCode="&quot;$&quot;#,##0\ ;\(&quot;$&quot;#,##0\)"/>
    <numFmt numFmtId="173" formatCode="_([$€-2]* #,##0.00_);_([$€-2]* \(#,##0.00\);_([$€-2]* &quot;-&quot;??_)"/>
    <numFmt numFmtId="174" formatCode="#,##0_);[Red]\(#,##0\);&quot; &quot;"/>
    <numFmt numFmtId="175" formatCode="\$#,##0_);[Red]\(\$#,##0\);&quot; &quot;"/>
    <numFmt numFmtId="176" formatCode="\$#,##0_);\(\$#,##0\);\-;"/>
    <numFmt numFmtId="177" formatCode="#,##0.00_);[Red]\(#,##0.00\);&quot; &quot;"/>
    <numFmt numFmtId="178" formatCode="_(* #,##0_);_(* \(#,##0\);_(* &quot;-&quot;??_);_(@_)"/>
    <numFmt numFmtId="179" formatCode="#,##0.00%_);[Red]\(#,##0.00%\);&quot; &quot;"/>
    <numFmt numFmtId="180" formatCode="0.0000%"/>
    <numFmt numFmtId="181" formatCode="_(&quot;$&quot;* #,##0_);_(&quot;$&quot;* \(#,##0\);_(&quot;$&quot;* &quot;-&quot;??_);_(@_)"/>
    <numFmt numFmtId="182" formatCode="0.000"/>
    <numFmt numFmtId="183" formatCode="_(* #,##0.0000_);_(* \(#,##0.0000\);_(* &quot;-&quot;??_);_(@_)"/>
    <numFmt numFmtId="184" formatCode="_(* #,##0.000000_);_(* \(#,##0.000000\);_(* &quot;-&quot;??_);_(@_)"/>
    <numFmt numFmtId="185" formatCode="#,##0.000_);\(#,##0.000\)"/>
    <numFmt numFmtId="186" formatCode="_(&quot;$&quot;* #,##0.000000_);_(&quot;$&quot;* \(#,##0.000000\);_(&quot;$&quot;* &quot;-&quot;??_);_(@_)"/>
    <numFmt numFmtId="187" formatCode="#,##0.00000_);\(#,##0.00000\)"/>
    <numFmt numFmtId="188" formatCode="0.0%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2"/>
      <name val="Tms Rmn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sz val="10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sz val="12"/>
      <color indexed="62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name val="Arial"/>
      <family val="2"/>
    </font>
    <font>
      <sz val="8"/>
      <color indexed="12"/>
      <name val="Arial"/>
      <family val="2"/>
    </font>
    <font>
      <sz val="12"/>
      <name val="新細明體"/>
      <family val="1"/>
      <charset val="136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Wingdings"/>
      <charset val="2"/>
    </font>
    <font>
      <sz val="11"/>
      <color indexed="8"/>
      <name val="Calibri"/>
      <family val="2"/>
      <scheme val="minor"/>
    </font>
    <font>
      <u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24">
    <xf numFmtId="0" fontId="0" fillId="0" borderId="0"/>
    <xf numFmtId="0" fontId="4" fillId="0" borderId="0"/>
    <xf numFmtId="0" fontId="5" fillId="3" borderId="1">
      <alignment horizontal="center" vertical="center"/>
    </xf>
    <xf numFmtId="3" fontId="6" fillId="4" borderId="0" applyBorder="0">
      <alignment horizontal="right"/>
      <protection locked="0"/>
    </xf>
    <xf numFmtId="0" fontId="7" fillId="0" borderId="0" applyNumberFormat="0" applyFill="0" applyBorder="0" applyAlignment="0" applyProtection="0"/>
    <xf numFmtId="0" fontId="34" fillId="5" borderId="0">
      <alignment horizontal="left"/>
    </xf>
    <xf numFmtId="0" fontId="35" fillId="5" borderId="0">
      <alignment horizontal="right"/>
    </xf>
    <xf numFmtId="0" fontId="36" fillId="4" borderId="0">
      <alignment horizontal="center"/>
    </xf>
    <xf numFmtId="0" fontId="35" fillId="5" borderId="0">
      <alignment horizontal="right"/>
    </xf>
    <xf numFmtId="0" fontId="37" fillId="4" borderId="0">
      <alignment horizontal="left"/>
    </xf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8" fillId="0" borderId="0">
      <alignment horizontal="left" vertical="center" indent="1"/>
    </xf>
    <xf numFmtId="44" fontId="3" fillId="0" borderId="0" applyFont="0" applyFill="0" applyBorder="0" applyAlignment="0" applyProtection="0"/>
    <xf numFmtId="8" fontId="9" fillId="0" borderId="2">
      <protection locked="0"/>
    </xf>
    <xf numFmtId="44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3"/>
    <xf numFmtId="6" fontId="10" fillId="0" borderId="0">
      <protection locked="0"/>
    </xf>
    <xf numFmtId="0" fontId="11" fillId="0" borderId="0" applyNumberFormat="0">
      <protection locked="0"/>
    </xf>
    <xf numFmtId="165" fontId="12" fillId="6" borderId="0" applyFill="0" applyBorder="0" applyProtection="0"/>
    <xf numFmtId="173" fontId="32" fillId="0" borderId="0" applyFont="0" applyFill="0" applyBorder="0" applyAlignment="0" applyProtection="0"/>
    <xf numFmtId="0" fontId="5" fillId="0" borderId="0" applyProtection="0"/>
    <xf numFmtId="0" fontId="38" fillId="0" borderId="0" applyProtection="0"/>
    <xf numFmtId="0" fontId="39" fillId="0" borderId="0" applyProtection="0"/>
    <xf numFmtId="0" fontId="11" fillId="0" borderId="0" applyProtection="0"/>
    <xf numFmtId="0" fontId="32" fillId="0" borderId="0" applyProtection="0"/>
    <xf numFmtId="0" fontId="5" fillId="0" borderId="0" applyProtection="0"/>
    <xf numFmtId="0" fontId="40" fillId="0" borderId="0" applyProtection="0"/>
    <xf numFmtId="0" fontId="3" fillId="0" borderId="0">
      <protection locked="0"/>
    </xf>
    <xf numFmtId="38" fontId="11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0">
      <alignment horizontal="center"/>
    </xf>
    <xf numFmtId="0" fontId="3" fillId="0" borderId="0">
      <protection locked="0"/>
    </xf>
    <xf numFmtId="0" fontId="3" fillId="0" borderId="0">
      <protection locked="0"/>
    </xf>
    <xf numFmtId="0" fontId="16" fillId="0" borderId="6" applyNumberFormat="0" applyFill="0" applyAlignment="0" applyProtection="0"/>
    <xf numFmtId="10" fontId="11" fillId="8" borderId="7" applyNumberFormat="0" applyBorder="0" applyAlignment="0" applyProtection="0"/>
    <xf numFmtId="0" fontId="17" fillId="9" borderId="3"/>
    <xf numFmtId="0" fontId="18" fillId="0" borderId="0" applyNumberFormat="0">
      <alignment horizontal="left"/>
    </xf>
    <xf numFmtId="0" fontId="34" fillId="5" borderId="0">
      <alignment horizontal="left"/>
    </xf>
    <xf numFmtId="0" fontId="41" fillId="4" borderId="0">
      <alignment horizontal="left"/>
    </xf>
    <xf numFmtId="37" fontId="19" fillId="0" borderId="0"/>
    <xf numFmtId="3" fontId="11" fillId="7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43" fontId="20" fillId="0" borderId="0"/>
    <xf numFmtId="4" fontId="21" fillId="11" borderId="0">
      <alignment horizontal="right"/>
    </xf>
    <xf numFmtId="0" fontId="22" fillId="11" borderId="0">
      <alignment horizontal="right"/>
    </xf>
    <xf numFmtId="0" fontId="23" fillId="11" borderId="8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41" fillId="10" borderId="0">
      <alignment horizontal="center"/>
    </xf>
    <xf numFmtId="49" fontId="42" fillId="4" borderId="0">
      <alignment horizontal="center"/>
    </xf>
    <xf numFmtId="0" fontId="7" fillId="0" borderId="0"/>
    <xf numFmtId="0" fontId="7" fillId="0" borderId="0"/>
    <xf numFmtId="0" fontId="35" fillId="5" borderId="0">
      <alignment horizontal="center"/>
    </xf>
    <xf numFmtId="0" fontId="35" fillId="5" borderId="0">
      <alignment horizontal="centerContinuous"/>
    </xf>
    <xf numFmtId="0" fontId="43" fillId="4" borderId="0">
      <alignment horizontal="left"/>
    </xf>
    <xf numFmtId="49" fontId="43" fillId="4" borderId="0">
      <alignment horizontal="center"/>
    </xf>
    <xf numFmtId="0" fontId="34" fillId="5" borderId="0">
      <alignment horizontal="left"/>
    </xf>
    <xf numFmtId="49" fontId="43" fillId="4" borderId="0">
      <alignment horizontal="left"/>
    </xf>
    <xf numFmtId="0" fontId="34" fillId="5" borderId="0">
      <alignment horizontal="centerContinuous"/>
    </xf>
    <xf numFmtId="0" fontId="34" fillId="5" borderId="0">
      <alignment horizontal="right"/>
    </xf>
    <xf numFmtId="49" fontId="41" fillId="4" borderId="0">
      <alignment horizontal="left"/>
    </xf>
    <xf numFmtId="0" fontId="35" fillId="5" borderId="0">
      <alignment horizontal="right"/>
    </xf>
    <xf numFmtId="0" fontId="43" fillId="2" borderId="0">
      <alignment horizontal="center"/>
    </xf>
    <xf numFmtId="0" fontId="30" fillId="2" borderId="0">
      <alignment horizontal="center"/>
    </xf>
    <xf numFmtId="0" fontId="26" fillId="0" borderId="0" applyNumberFormat="0">
      <alignment horizontal="left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3"/>
    <xf numFmtId="0" fontId="7" fillId="0" borderId="3"/>
    <xf numFmtId="0" fontId="27" fillId="5" borderId="0"/>
    <xf numFmtId="0" fontId="27" fillId="5" borderId="0"/>
    <xf numFmtId="166" fontId="28" fillId="0" borderId="0">
      <alignment horizontal="center"/>
    </xf>
    <xf numFmtId="0" fontId="3" fillId="0" borderId="9">
      <protection locked="0"/>
    </xf>
    <xf numFmtId="0" fontId="17" fillId="0" borderId="10"/>
    <xf numFmtId="0" fontId="17" fillId="0" borderId="10"/>
    <xf numFmtId="0" fontId="17" fillId="0" borderId="3"/>
    <xf numFmtId="0" fontId="17" fillId="0" borderId="3"/>
    <xf numFmtId="37" fontId="11" fillId="12" borderId="0" applyNumberFormat="0" applyBorder="0" applyAlignment="0" applyProtection="0"/>
    <xf numFmtId="37" fontId="29" fillId="0" borderId="0"/>
    <xf numFmtId="3" fontId="30" fillId="0" borderId="6" applyProtection="0"/>
    <xf numFmtId="0" fontId="44" fillId="4" borderId="0">
      <alignment horizontal="center"/>
    </xf>
    <xf numFmtId="0" fontId="31" fillId="0" borderId="0"/>
    <xf numFmtId="0" fontId="45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" fillId="0" borderId="0"/>
    <xf numFmtId="0" fontId="3" fillId="0" borderId="0"/>
    <xf numFmtId="37" fontId="50" fillId="0" borderId="0"/>
    <xf numFmtId="41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51" fillId="0" borderId="0" applyFont="0" applyFill="0" applyBorder="0" applyAlignment="0" applyProtection="0"/>
  </cellStyleXfs>
  <cellXfs count="378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quotePrefix="1" applyFont="1" applyAlignment="1">
      <alignment horizontal="left"/>
    </xf>
    <xf numFmtId="0" fontId="12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10" fontId="32" fillId="0" borderId="0" xfId="0" applyNumberFormat="1" applyFont="1"/>
    <xf numFmtId="0" fontId="32" fillId="0" borderId="0" xfId="0" quotePrefix="1" applyFont="1" applyAlignment="1">
      <alignment horizontal="left"/>
    </xf>
    <xf numFmtId="0" fontId="32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32" fillId="0" borderId="0" xfId="0" applyFont="1" applyFill="1"/>
    <xf numFmtId="170" fontId="32" fillId="0" borderId="0" xfId="10" applyNumberFormat="1" applyFont="1"/>
    <xf numFmtId="171" fontId="32" fillId="0" borderId="0" xfId="14" applyNumberFormat="1" applyFont="1"/>
    <xf numFmtId="169" fontId="32" fillId="0" borderId="0" xfId="0" applyNumberFormat="1" applyFont="1"/>
    <xf numFmtId="169" fontId="32" fillId="0" borderId="0" xfId="10" applyNumberFormat="1" applyFont="1"/>
    <xf numFmtId="169" fontId="32" fillId="0" borderId="12" xfId="14" applyNumberFormat="1" applyFont="1" applyBorder="1"/>
    <xf numFmtId="167" fontId="32" fillId="0" borderId="0" xfId="10" applyNumberFormat="1" applyFont="1"/>
    <xf numFmtId="0" fontId="32" fillId="0" borderId="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1" xfId="0" quotePrefix="1" applyFont="1" applyBorder="1" applyAlignment="1">
      <alignment horizontal="center"/>
    </xf>
    <xf numFmtId="170" fontId="32" fillId="0" borderId="11" xfId="10" applyNumberFormat="1" applyFont="1" applyBorder="1"/>
    <xf numFmtId="170" fontId="32" fillId="0" borderId="12" xfId="10" applyNumberFormat="1" applyFont="1" applyBorder="1"/>
    <xf numFmtId="10" fontId="32" fillId="0" borderId="12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71" fontId="12" fillId="0" borderId="0" xfId="14" applyNumberFormat="1" applyFont="1"/>
    <xf numFmtId="170" fontId="32" fillId="0" borderId="0" xfId="10" applyNumberFormat="1" applyFont="1" applyFill="1"/>
    <xf numFmtId="0" fontId="0" fillId="0" borderId="0" xfId="0" applyFill="1"/>
    <xf numFmtId="0" fontId="11" fillId="0" borderId="0" xfId="0" quotePrefix="1" applyFont="1" applyAlignment="1">
      <alignment horizontal="center"/>
    </xf>
    <xf numFmtId="169" fontId="12" fillId="0" borderId="11" xfId="14" applyNumberFormat="1" applyFont="1" applyBorder="1"/>
    <xf numFmtId="169" fontId="12" fillId="0" borderId="12" xfId="14" applyNumberFormat="1" applyFont="1" applyBorder="1"/>
    <xf numFmtId="10" fontId="32" fillId="0" borderId="0" xfId="0" applyNumberFormat="1" applyFont="1" applyFill="1"/>
    <xf numFmtId="0" fontId="5" fillId="0" borderId="0" xfId="0" applyFont="1" applyAlignment="1">
      <alignment horizontal="centerContinuous"/>
    </xf>
    <xf numFmtId="170" fontId="32" fillId="0" borderId="0" xfId="10" applyNumberFormat="1" applyFont="1" applyBorder="1"/>
    <xf numFmtId="10" fontId="32" fillId="0" borderId="0" xfId="0" applyNumberFormat="1" applyFont="1" applyBorder="1"/>
    <xf numFmtId="0" fontId="12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0" fillId="0" borderId="0" xfId="0" applyFill="1" applyBorder="1"/>
    <xf numFmtId="170" fontId="32" fillId="0" borderId="0" xfId="10" applyNumberFormat="1" applyFont="1" applyFill="1" applyBorder="1"/>
    <xf numFmtId="170" fontId="32" fillId="0" borderId="0" xfId="0" applyNumberFormat="1" applyFont="1" applyFill="1" applyBorder="1"/>
    <xf numFmtId="170" fontId="0" fillId="0" borderId="0" xfId="10" applyNumberFormat="1" applyFont="1" applyFill="1" applyBorder="1"/>
    <xf numFmtId="170" fontId="0" fillId="0" borderId="0" xfId="0" applyNumberFormat="1" applyFill="1" applyBorder="1"/>
    <xf numFmtId="10" fontId="32" fillId="0" borderId="0" xfId="63" applyNumberFormat="1" applyFont="1" applyFill="1"/>
    <xf numFmtId="10" fontId="32" fillId="0" borderId="0" xfId="0" applyNumberFormat="1" applyFont="1" applyFill="1" applyBorder="1"/>
    <xf numFmtId="10" fontId="32" fillId="0" borderId="0" xfId="63" applyNumberFormat="1" applyFont="1" applyFill="1" applyBorder="1"/>
    <xf numFmtId="170" fontId="32" fillId="0" borderId="11" xfId="10" applyNumberFormat="1" applyFont="1" applyFill="1" applyBorder="1"/>
    <xf numFmtId="10" fontId="32" fillId="0" borderId="11" xfId="0" applyNumberFormat="1" applyFont="1" applyFill="1" applyBorder="1"/>
    <xf numFmtId="10" fontId="32" fillId="0" borderId="11" xfId="63" applyNumberFormat="1" applyFont="1" applyFill="1" applyBorder="1"/>
    <xf numFmtId="0" fontId="5" fillId="0" borderId="0" xfId="0" applyFont="1"/>
    <xf numFmtId="0" fontId="5" fillId="0" borderId="0" xfId="0" quotePrefix="1" applyFont="1" applyAlignment="1">
      <alignment horizontal="left"/>
    </xf>
    <xf numFmtId="43" fontId="32" fillId="0" borderId="0" xfId="0" applyNumberFormat="1" applyFont="1"/>
    <xf numFmtId="0" fontId="5" fillId="0" borderId="0" xfId="0" applyFont="1" applyFill="1"/>
    <xf numFmtId="0" fontId="32" fillId="0" borderId="0" xfId="0" applyFont="1" applyFill="1" applyBorder="1" applyAlignment="1">
      <alignment horizontal="left"/>
    </xf>
    <xf numFmtId="170" fontId="32" fillId="0" borderId="12" xfId="0" applyNumberFormat="1" applyFont="1" applyFill="1" applyBorder="1"/>
    <xf numFmtId="170" fontId="32" fillId="0" borderId="0" xfId="10" applyNumberFormat="1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32" fillId="0" borderId="11" xfId="0" applyFont="1" applyFill="1" applyBorder="1"/>
    <xf numFmtId="0" fontId="11" fillId="0" borderId="0" xfId="0" quotePrefix="1" applyFont="1" applyFill="1" applyAlignment="1">
      <alignment horizontal="center"/>
    </xf>
    <xf numFmtId="0" fontId="32" fillId="0" borderId="11" xfId="0" quotePrefix="1" applyFont="1" applyFill="1" applyBorder="1" applyAlignment="1">
      <alignment horizontal="center"/>
    </xf>
    <xf numFmtId="10" fontId="32" fillId="0" borderId="12" xfId="0" applyNumberFormat="1" applyFont="1" applyFill="1" applyBorder="1"/>
    <xf numFmtId="170" fontId="33" fillId="0" borderId="11" xfId="10" applyNumberFormat="1" applyFont="1" applyFill="1" applyBorder="1"/>
    <xf numFmtId="170" fontId="33" fillId="0" borderId="0" xfId="10" applyNumberFormat="1" applyFont="1" applyFill="1" applyBorder="1"/>
    <xf numFmtId="0" fontId="5" fillId="0" borderId="0" xfId="0" quotePrefix="1" applyFont="1" applyFill="1" applyAlignment="1">
      <alignment horizontal="left"/>
    </xf>
    <xf numFmtId="10" fontId="0" fillId="0" borderId="0" xfId="0" applyNumberFormat="1" applyFill="1"/>
    <xf numFmtId="0" fontId="12" fillId="0" borderId="0" xfId="0" quotePrefix="1" applyFont="1" applyFill="1" applyAlignment="1">
      <alignment horizontal="left"/>
    </xf>
    <xf numFmtId="170" fontId="32" fillId="0" borderId="0" xfId="0" applyNumberFormat="1" applyFont="1" applyFill="1"/>
    <xf numFmtId="170" fontId="32" fillId="0" borderId="11" xfId="0" applyNumberFormat="1" applyFont="1" applyFill="1" applyBorder="1"/>
    <xf numFmtId="167" fontId="32" fillId="0" borderId="0" xfId="10" applyNumberFormat="1" applyFont="1" applyFill="1"/>
    <xf numFmtId="0" fontId="32" fillId="0" borderId="13" xfId="0" applyFont="1" applyFill="1" applyBorder="1"/>
    <xf numFmtId="10" fontId="32" fillId="0" borderId="13" xfId="0" applyNumberFormat="1" applyFont="1" applyFill="1" applyBorder="1"/>
    <xf numFmtId="0" fontId="32" fillId="0" borderId="0" xfId="0" quotePrefix="1" applyFont="1" applyFill="1" applyAlignment="1">
      <alignment horizontal="left"/>
    </xf>
    <xf numFmtId="170" fontId="32" fillId="0" borderId="12" xfId="0" quotePrefix="1" applyNumberFormat="1" applyFont="1" applyFill="1" applyBorder="1" applyAlignment="1">
      <alignment horizontal="left"/>
    </xf>
    <xf numFmtId="170" fontId="32" fillId="0" borderId="12" xfId="10" applyNumberFormat="1" applyFont="1" applyFill="1" applyBorder="1"/>
    <xf numFmtId="0" fontId="12" fillId="0" borderId="0" xfId="0" applyFont="1" applyFill="1"/>
    <xf numFmtId="10" fontId="32" fillId="0" borderId="0" xfId="0" applyNumberFormat="1" applyFont="1" applyFill="1" applyAlignment="1">
      <alignment horizontal="center"/>
    </xf>
    <xf numFmtId="170" fontId="32" fillId="0" borderId="12" xfId="10" applyNumberFormat="1" applyFont="1" applyFill="1" applyBorder="1" applyAlignment="1">
      <alignment horizontal="center"/>
    </xf>
    <xf numFmtId="10" fontId="0" fillId="0" borderId="0" xfId="0" applyNumberFormat="1" applyFill="1" applyBorder="1"/>
    <xf numFmtId="10" fontId="32" fillId="0" borderId="0" xfId="0" applyNumberFormat="1" applyFont="1" applyFill="1" applyBorder="1" applyAlignment="1">
      <alignment horizontal="center"/>
    </xf>
    <xf numFmtId="0" fontId="29" fillId="0" borderId="0" xfId="0" applyFont="1" applyFill="1"/>
    <xf numFmtId="164" fontId="29" fillId="0" borderId="0" xfId="63" applyNumberFormat="1" applyFont="1" applyFill="1"/>
    <xf numFmtId="168" fontId="0" fillId="0" borderId="0" xfId="0" applyNumberFormat="1" applyFill="1"/>
    <xf numFmtId="167" fontId="32" fillId="0" borderId="0" xfId="10" applyNumberFormat="1" applyFont="1" applyFill="1" applyBorder="1"/>
    <xf numFmtId="170" fontId="32" fillId="0" borderId="0" xfId="0" quotePrefix="1" applyNumberFormat="1" applyFont="1" applyFill="1" applyBorder="1" applyAlignment="1">
      <alignment horizontal="left"/>
    </xf>
    <xf numFmtId="170" fontId="0" fillId="0" borderId="0" xfId="10" applyNumberFormat="1" applyFont="1"/>
    <xf numFmtId="169" fontId="12" fillId="0" borderId="0" xfId="14" applyNumberFormat="1" applyFont="1"/>
    <xf numFmtId="169" fontId="5" fillId="0" borderId="12" xfId="0" applyNumberFormat="1" applyFont="1" applyBorder="1"/>
    <xf numFmtId="0" fontId="0" fillId="0" borderId="0" xfId="0" applyFont="1" applyFill="1"/>
    <xf numFmtId="170" fontId="32" fillId="0" borderId="12" xfId="0" applyNumberFormat="1" applyFont="1" applyFill="1" applyBorder="1" applyAlignment="1">
      <alignment horizontal="center"/>
    </xf>
    <xf numFmtId="170" fontId="32" fillId="0" borderId="0" xfId="0" applyNumberFormat="1" applyFont="1" applyFill="1" applyBorder="1" applyAlignment="1">
      <alignment horizontal="center"/>
    </xf>
    <xf numFmtId="10" fontId="32" fillId="0" borderId="0" xfId="65" applyNumberFormat="1" applyFont="1" applyFill="1"/>
    <xf numFmtId="170" fontId="32" fillId="0" borderId="0" xfId="11" applyNumberFormat="1" applyFont="1" applyFill="1"/>
    <xf numFmtId="170" fontId="32" fillId="0" borderId="0" xfId="11" applyNumberFormat="1" applyFont="1" applyFill="1" applyBorder="1"/>
    <xf numFmtId="170" fontId="32" fillId="0" borderId="11" xfId="11" applyNumberFormat="1" applyFont="1" applyFill="1" applyBorder="1"/>
    <xf numFmtId="0" fontId="3" fillId="14" borderId="0" xfId="0" applyFont="1" applyFill="1" applyBorder="1" applyAlignment="1">
      <alignment horizontal="center"/>
    </xf>
    <xf numFmtId="0" fontId="32" fillId="14" borderId="0" xfId="0" applyFont="1" applyFill="1"/>
    <xf numFmtId="0" fontId="0" fillId="14" borderId="0" xfId="0" applyFill="1"/>
    <xf numFmtId="0" fontId="3" fillId="14" borderId="0" xfId="0" applyFont="1" applyFill="1"/>
    <xf numFmtId="170" fontId="32" fillId="14" borderId="0" xfId="0" applyNumberFormat="1" applyFont="1" applyFill="1"/>
    <xf numFmtId="10" fontId="0" fillId="14" borderId="0" xfId="63" applyNumberFormat="1" applyFont="1" applyFill="1"/>
    <xf numFmtId="0" fontId="12" fillId="0" borderId="0" xfId="0" applyFont="1" applyFill="1" applyAlignment="1">
      <alignment horizontal="center"/>
    </xf>
    <xf numFmtId="0" fontId="45" fillId="0" borderId="14" xfId="105" applyBorder="1"/>
    <xf numFmtId="0" fontId="45" fillId="0" borderId="0" xfId="105"/>
    <xf numFmtId="0" fontId="3" fillId="0" borderId="0" xfId="105" applyFont="1"/>
    <xf numFmtId="0" fontId="3" fillId="0" borderId="0" xfId="105" applyFont="1" applyAlignment="1">
      <alignment horizontal="center"/>
    </xf>
    <xf numFmtId="0" fontId="45" fillId="0" borderId="0" xfId="105" applyBorder="1"/>
    <xf numFmtId="0" fontId="3" fillId="0" borderId="15" xfId="105" applyFont="1" applyBorder="1" applyAlignment="1">
      <alignment horizontal="center" vertical="center" wrapText="1"/>
    </xf>
    <xf numFmtId="0" fontId="3" fillId="0" borderId="0" xfId="105" applyFont="1" applyAlignment="1">
      <alignment horizontal="center" vertical="top"/>
    </xf>
    <xf numFmtId="0" fontId="3" fillId="0" borderId="0" xfId="105" applyFont="1" applyAlignment="1">
      <alignment horizontal="left" vertical="top"/>
    </xf>
    <xf numFmtId="174" fontId="47" fillId="0" borderId="0" xfId="105" applyNumberFormat="1" applyFont="1" applyAlignment="1">
      <alignment horizontal="right" vertical="top"/>
    </xf>
    <xf numFmtId="175" fontId="3" fillId="0" borderId="0" xfId="105" applyNumberFormat="1" applyFont="1" applyAlignment="1">
      <alignment horizontal="right" vertical="top"/>
    </xf>
    <xf numFmtId="0" fontId="3" fillId="0" borderId="0" xfId="105" applyFont="1" applyAlignment="1">
      <alignment horizontal="left" vertical="top" indent="1"/>
    </xf>
    <xf numFmtId="0" fontId="3" fillId="0" borderId="0" xfId="105" applyNumberFormat="1" applyFont="1" applyAlignment="1">
      <alignment horizontal="right" vertical="top"/>
    </xf>
    <xf numFmtId="176" fontId="3" fillId="0" borderId="0" xfId="105" applyNumberFormat="1" applyFont="1" applyAlignment="1">
      <alignment horizontal="right" vertical="top"/>
    </xf>
    <xf numFmtId="177" fontId="3" fillId="0" borderId="0" xfId="105" applyNumberFormat="1" applyFont="1" applyAlignment="1">
      <alignment horizontal="right" vertical="top"/>
    </xf>
    <xf numFmtId="0" fontId="21" fillId="0" borderId="0" xfId="105" applyFont="1"/>
    <xf numFmtId="0" fontId="3" fillId="0" borderId="15" xfId="105" applyFont="1" applyBorder="1" applyAlignment="1">
      <alignment horizontal="center" vertical="top"/>
    </xf>
    <xf numFmtId="0" fontId="3" fillId="0" borderId="15" xfId="105" applyFont="1" applyBorder="1" applyAlignment="1">
      <alignment horizontal="left" vertical="top" indent="1"/>
    </xf>
    <xf numFmtId="0" fontId="3" fillId="0" borderId="15" xfId="105" applyNumberFormat="1" applyFont="1" applyBorder="1" applyAlignment="1">
      <alignment horizontal="right" vertical="top"/>
    </xf>
    <xf numFmtId="175" fontId="3" fillId="0" borderId="15" xfId="105" applyNumberFormat="1" applyFont="1" applyBorder="1" applyAlignment="1">
      <alignment horizontal="right" vertical="top"/>
    </xf>
    <xf numFmtId="176" fontId="3" fillId="0" borderId="15" xfId="105" applyNumberFormat="1" applyFont="1" applyBorder="1" applyAlignment="1">
      <alignment horizontal="right" vertical="top"/>
    </xf>
    <xf numFmtId="177" fontId="3" fillId="0" borderId="15" xfId="105" applyNumberFormat="1" applyFont="1" applyBorder="1" applyAlignment="1">
      <alignment horizontal="right" vertical="top"/>
    </xf>
    <xf numFmtId="0" fontId="3" fillId="0" borderId="0" xfId="105" applyFont="1" applyBorder="1" applyAlignment="1">
      <alignment horizontal="center" vertical="top"/>
    </xf>
    <xf numFmtId="0" fontId="3" fillId="0" borderId="0" xfId="105" applyFont="1" applyBorder="1" applyAlignment="1">
      <alignment horizontal="left" vertical="top" indent="1"/>
    </xf>
    <xf numFmtId="0" fontId="3" fillId="0" borderId="0" xfId="105" applyNumberFormat="1" applyFont="1" applyBorder="1" applyAlignment="1">
      <alignment horizontal="right" vertical="top"/>
    </xf>
    <xf numFmtId="175" fontId="3" fillId="0" borderId="0" xfId="105" applyNumberFormat="1" applyFont="1" applyBorder="1" applyAlignment="1">
      <alignment horizontal="right" vertical="top"/>
    </xf>
    <xf numFmtId="176" fontId="3" fillId="0" borderId="0" xfId="105" applyNumberFormat="1" applyFont="1" applyBorder="1" applyAlignment="1">
      <alignment horizontal="right" vertical="top"/>
    </xf>
    <xf numFmtId="177" fontId="3" fillId="0" borderId="0" xfId="105" applyNumberFormat="1" applyFont="1" applyBorder="1" applyAlignment="1">
      <alignment horizontal="right" vertical="top"/>
    </xf>
    <xf numFmtId="175" fontId="3" fillId="0" borderId="16" xfId="105" applyNumberFormat="1" applyFont="1" applyBorder="1" applyAlignment="1">
      <alignment horizontal="right" vertical="top"/>
    </xf>
    <xf numFmtId="175" fontId="3" fillId="13" borderId="16" xfId="105" applyNumberFormat="1" applyFont="1" applyFill="1" applyBorder="1" applyAlignment="1">
      <alignment horizontal="right" vertical="top"/>
    </xf>
    <xf numFmtId="174" fontId="3" fillId="0" borderId="0" xfId="105" applyNumberFormat="1" applyFont="1" applyAlignment="1">
      <alignment horizontal="right" vertical="top"/>
    </xf>
    <xf numFmtId="176" fontId="3" fillId="0" borderId="0" xfId="105" applyNumberFormat="1" applyFont="1" applyFill="1" applyAlignment="1">
      <alignment horizontal="right" vertical="top"/>
    </xf>
    <xf numFmtId="176" fontId="3" fillId="0" borderId="16" xfId="105" applyNumberFormat="1" applyFont="1" applyBorder="1" applyAlignment="1">
      <alignment horizontal="right" vertical="top"/>
    </xf>
    <xf numFmtId="179" fontId="3" fillId="0" borderId="17" xfId="105" applyNumberFormat="1" applyFont="1" applyBorder="1" applyAlignment="1">
      <alignment horizontal="right" vertical="top"/>
    </xf>
    <xf numFmtId="0" fontId="5" fillId="0" borderId="0" xfId="105" applyFont="1" applyAlignment="1">
      <alignment horizontal="left" vertical="top"/>
    </xf>
    <xf numFmtId="175" fontId="21" fillId="0" borderId="0" xfId="105" applyNumberFormat="1" applyFont="1"/>
    <xf numFmtId="176" fontId="21" fillId="0" borderId="0" xfId="105" applyNumberFormat="1" applyFont="1"/>
    <xf numFmtId="178" fontId="21" fillId="0" borderId="11" xfId="106" applyNumberFormat="1" applyFont="1" applyBorder="1"/>
    <xf numFmtId="10" fontId="21" fillId="0" borderId="12" xfId="107" applyNumberFormat="1" applyFont="1" applyBorder="1"/>
    <xf numFmtId="175" fontId="45" fillId="0" borderId="0" xfId="105" applyNumberFormat="1"/>
    <xf numFmtId="178" fontId="0" fillId="0" borderId="0" xfId="106" applyNumberFormat="1" applyFont="1"/>
    <xf numFmtId="0" fontId="21" fillId="0" borderId="14" xfId="105" applyFont="1" applyBorder="1"/>
    <xf numFmtId="175" fontId="3" fillId="13" borderId="0" xfId="105" applyNumberFormat="1" applyFont="1" applyFill="1" applyAlignment="1">
      <alignment horizontal="right" vertical="top"/>
    </xf>
    <xf numFmtId="10" fontId="3" fillId="13" borderId="0" xfId="63" applyNumberFormat="1" applyFont="1" applyFill="1" applyAlignment="1">
      <alignment horizontal="left" vertical="top" indent="1"/>
    </xf>
    <xf numFmtId="170" fontId="32" fillId="0" borderId="12" xfId="10" quotePrefix="1" applyNumberFormat="1" applyFont="1" applyFill="1" applyBorder="1" applyAlignment="1">
      <alignment horizontal="left"/>
    </xf>
    <xf numFmtId="170" fontId="0" fillId="14" borderId="0" xfId="0" applyNumberFormat="1" applyFill="1"/>
    <xf numFmtId="170" fontId="3" fillId="14" borderId="0" xfId="0" applyNumberFormat="1" applyFont="1" applyFill="1"/>
    <xf numFmtId="170" fontId="0" fillId="0" borderId="0" xfId="0" applyNumberFormat="1" applyFill="1"/>
    <xf numFmtId="0" fontId="3" fillId="0" borderId="0" xfId="0" applyFont="1" applyFill="1"/>
    <xf numFmtId="10" fontId="0" fillId="0" borderId="0" xfId="63" applyNumberFormat="1" applyFont="1" applyFill="1"/>
    <xf numFmtId="43" fontId="0" fillId="0" borderId="0" xfId="0" applyNumberFormat="1" applyFill="1"/>
    <xf numFmtId="0" fontId="3" fillId="0" borderId="0" xfId="0" applyFont="1" applyFill="1" applyBorder="1" applyAlignment="1">
      <alignment horizontal="center"/>
    </xf>
    <xf numFmtId="170" fontId="3" fillId="0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/>
    <xf numFmtId="178" fontId="21" fillId="0" borderId="0" xfId="106" applyNumberFormat="1" applyFont="1" applyFill="1"/>
    <xf numFmtId="0" fontId="21" fillId="0" borderId="0" xfId="105" applyFont="1" applyFill="1"/>
    <xf numFmtId="0" fontId="45" fillId="0" borderId="0" xfId="105" applyFill="1"/>
    <xf numFmtId="10" fontId="3" fillId="13" borderId="0" xfId="105" applyNumberFormat="1" applyFont="1" applyFill="1" applyAlignment="1">
      <alignment horizontal="left" vertical="top" indent="1"/>
    </xf>
    <xf numFmtId="0" fontId="12" fillId="0" borderId="0" xfId="0" applyFont="1" applyFill="1" applyAlignment="1">
      <alignment horizontal="center"/>
    </xf>
    <xf numFmtId="175" fontId="45" fillId="0" borderId="0" xfId="105" applyNumberFormat="1" applyFill="1"/>
    <xf numFmtId="178" fontId="0" fillId="0" borderId="0" xfId="106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/>
    </xf>
    <xf numFmtId="0" fontId="0" fillId="0" borderId="0" xfId="0" applyFont="1" applyFill="1" applyBorder="1"/>
    <xf numFmtId="2" fontId="32" fillId="0" borderId="0" xfId="0" applyNumberFormat="1" applyFont="1" applyFill="1" applyBorder="1" applyAlignment="1">
      <alignment horizontal="center"/>
    </xf>
    <xf numFmtId="2" fontId="32" fillId="0" borderId="0" xfId="1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0" fillId="0" borderId="0" xfId="1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0" fillId="0" borderId="0" xfId="0" applyNumberFormat="1" applyFill="1" applyBorder="1" applyAlignment="1"/>
    <xf numFmtId="2" fontId="32" fillId="0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11" xfId="1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" fontId="0" fillId="0" borderId="12" xfId="1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2" fillId="0" borderId="1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0" fillId="0" borderId="0" xfId="63" applyNumberFormat="1" applyFont="1"/>
    <xf numFmtId="180" fontId="0" fillId="0" borderId="0" xfId="63" applyNumberFormat="1" applyFont="1"/>
    <xf numFmtId="0" fontId="0" fillId="0" borderId="11" xfId="0" applyBorder="1"/>
    <xf numFmtId="43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170" fontId="0" fillId="0" borderId="11" xfId="10" applyNumberFormat="1" applyFont="1" applyBorder="1"/>
    <xf numFmtId="170" fontId="0" fillId="0" borderId="12" xfId="10" applyNumberFormat="1" applyFont="1" applyBorder="1"/>
    <xf numFmtId="170" fontId="0" fillId="0" borderId="11" xfId="10" applyNumberFormat="1" applyFont="1" applyFill="1" applyBorder="1"/>
    <xf numFmtId="43" fontId="0" fillId="0" borderId="11" xfId="0" applyNumberFormat="1" applyFill="1" applyBorder="1"/>
    <xf numFmtId="2" fontId="32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3" fillId="0" borderId="11" xfId="0" applyNumberFormat="1" applyFont="1" applyFill="1" applyBorder="1" applyAlignment="1">
      <alignment horizontal="right"/>
    </xf>
    <xf numFmtId="170" fontId="0" fillId="0" borderId="12" xfId="10" applyNumberFormat="1" applyFont="1" applyFill="1" applyBorder="1"/>
    <xf numFmtId="170" fontId="0" fillId="0" borderId="0" xfId="0" applyNumberFormat="1"/>
    <xf numFmtId="43" fontId="0" fillId="0" borderId="12" xfId="0" applyNumberFormat="1" applyFill="1" applyBorder="1"/>
    <xf numFmtId="43" fontId="0" fillId="0" borderId="12" xfId="10" applyNumberFormat="1" applyFont="1" applyBorder="1" applyAlignment="1"/>
    <xf numFmtId="43" fontId="0" fillId="0" borderId="12" xfId="10" applyNumberFormat="1" applyFont="1" applyBorder="1" applyAlignment="1">
      <alignment horizontal="right"/>
    </xf>
    <xf numFmtId="170" fontId="0" fillId="0" borderId="9" xfId="0" applyNumberFormat="1" applyBorder="1"/>
    <xf numFmtId="170" fontId="0" fillId="0" borderId="12" xfId="0" applyNumberFormat="1" applyBorder="1"/>
    <xf numFmtId="169" fontId="12" fillId="0" borderId="0" xfId="14" applyNumberFormat="1" applyFont="1" applyBorder="1"/>
    <xf numFmtId="170" fontId="5" fillId="0" borderId="11" xfId="10" applyNumberFormat="1" applyFont="1" applyBorder="1"/>
    <xf numFmtId="0" fontId="3" fillId="0" borderId="0" xfId="0" applyFont="1" applyBorder="1"/>
    <xf numFmtId="0" fontId="3" fillId="0" borderId="0" xfId="0" quotePrefix="1" applyFont="1" applyBorder="1"/>
    <xf numFmtId="0" fontId="3" fillId="0" borderId="0" xfId="0" quotePrefix="1" applyFont="1" applyFill="1" applyBorder="1"/>
    <xf numFmtId="170" fontId="0" fillId="0" borderId="0" xfId="10" applyNumberFormat="1" applyFont="1" applyBorder="1"/>
    <xf numFmtId="0" fontId="0" fillId="0" borderId="0" xfId="0" quotePrefix="1" applyFont="1" applyFill="1" applyBorder="1"/>
    <xf numFmtId="170" fontId="0" fillId="0" borderId="0" xfId="10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0" fontId="11" fillId="0" borderId="0" xfId="0" applyFont="1" applyFill="1"/>
    <xf numFmtId="181" fontId="0" fillId="0" borderId="0" xfId="14" applyNumberFormat="1" applyFont="1"/>
    <xf numFmtId="181" fontId="3" fillId="0" borderId="0" xfId="14" applyNumberFormat="1" applyFont="1"/>
    <xf numFmtId="164" fontId="32" fillId="0" borderId="0" xfId="0" applyNumberFormat="1" applyFont="1" applyFill="1"/>
    <xf numFmtId="170" fontId="0" fillId="14" borderId="0" xfId="10" applyNumberFormat="1" applyFont="1" applyFill="1"/>
    <xf numFmtId="0" fontId="3" fillId="14" borderId="0" xfId="0" applyFont="1" applyFill="1" applyBorder="1" applyAlignment="1">
      <alignment horizontal="left"/>
    </xf>
    <xf numFmtId="43" fontId="3" fillId="0" borderId="0" xfId="0" applyNumberFormat="1" applyFont="1" applyFill="1"/>
    <xf numFmtId="170" fontId="0" fillId="0" borderId="0" xfId="10" applyNumberFormat="1" applyFont="1" applyFill="1"/>
    <xf numFmtId="170" fontId="32" fillId="0" borderId="0" xfId="10" applyNumberFormat="1" applyFont="1" applyFill="1" applyAlignment="1">
      <alignment horizontal="center"/>
    </xf>
    <xf numFmtId="0" fontId="32" fillId="0" borderId="11" xfId="0" applyFont="1" applyFill="1" applyBorder="1" applyAlignment="1">
      <alignment horizontal="right"/>
    </xf>
    <xf numFmtId="170" fontId="32" fillId="0" borderId="0" xfId="10" applyNumberFormat="1" applyFont="1" applyFill="1" applyAlignment="1">
      <alignment horizontal="right"/>
    </xf>
    <xf numFmtId="170" fontId="32" fillId="0" borderId="12" xfId="10" applyNumberFormat="1" applyFont="1" applyFill="1" applyBorder="1" applyAlignment="1">
      <alignment horizontal="right"/>
    </xf>
    <xf numFmtId="170" fontId="32" fillId="0" borderId="0" xfId="0" applyNumberFormat="1" applyFont="1" applyFill="1" applyAlignment="1">
      <alignment horizontal="center"/>
    </xf>
    <xf numFmtId="164" fontId="32" fillId="0" borderId="0" xfId="63" applyNumberFormat="1" applyFont="1" applyFill="1" applyAlignment="1">
      <alignment horizontal="right"/>
    </xf>
    <xf numFmtId="164" fontId="32" fillId="0" borderId="11" xfId="63" applyNumberFormat="1" applyFont="1" applyFill="1" applyBorder="1" applyAlignment="1">
      <alignment horizontal="right"/>
    </xf>
    <xf numFmtId="17" fontId="0" fillId="0" borderId="0" xfId="0" applyNumberFormat="1" applyFill="1"/>
    <xf numFmtId="17" fontId="3" fillId="0" borderId="0" xfId="0" applyNumberFormat="1" applyFont="1" applyFill="1"/>
    <xf numFmtId="170" fontId="3" fillId="0" borderId="0" xfId="10" applyNumberFormat="1" applyFont="1" applyFill="1" applyBorder="1"/>
    <xf numFmtId="170" fontId="3" fillId="0" borderId="0" xfId="0" applyNumberFormat="1" applyFont="1" applyFill="1" applyBorder="1"/>
    <xf numFmtId="0" fontId="2" fillId="0" borderId="0" xfId="108"/>
    <xf numFmtId="0" fontId="48" fillId="0" borderId="0" xfId="108" applyFont="1"/>
    <xf numFmtId="10" fontId="48" fillId="0" borderId="0" xfId="108" applyNumberFormat="1" applyFont="1"/>
    <xf numFmtId="0" fontId="48" fillId="0" borderId="0" xfId="108" applyFont="1" applyAlignment="1">
      <alignment horizontal="center"/>
    </xf>
    <xf numFmtId="3" fontId="48" fillId="0" borderId="0" xfId="108" applyNumberFormat="1" applyFont="1"/>
    <xf numFmtId="8" fontId="48" fillId="0" borderId="0" xfId="108" applyNumberFormat="1" applyFont="1"/>
    <xf numFmtId="0" fontId="48" fillId="0" borderId="11" xfId="108" applyFont="1" applyBorder="1"/>
    <xf numFmtId="178" fontId="3" fillId="0" borderId="0" xfId="10" applyNumberFormat="1" applyFont="1" applyProtection="1"/>
    <xf numFmtId="0" fontId="48" fillId="0" borderId="11" xfId="108" applyFont="1" applyBorder="1" applyAlignment="1">
      <alignment horizontal="center"/>
    </xf>
    <xf numFmtId="6" fontId="3" fillId="0" borderId="12" xfId="0" applyNumberFormat="1" applyFont="1" applyBorder="1" applyProtection="1"/>
    <xf numFmtId="170" fontId="48" fillId="0" borderId="0" xfId="10" applyNumberFormat="1" applyFont="1"/>
    <xf numFmtId="3" fontId="48" fillId="0" borderId="11" xfId="108" applyNumberFormat="1" applyFont="1" applyBorder="1"/>
    <xf numFmtId="178" fontId="3" fillId="0" borderId="11" xfId="10" applyNumberFormat="1" applyFont="1" applyBorder="1" applyProtection="1"/>
    <xf numFmtId="3" fontId="48" fillId="0" borderId="9" xfId="108" applyNumberFormat="1" applyFont="1" applyBorder="1"/>
    <xf numFmtId="178" fontId="48" fillId="0" borderId="9" xfId="108" applyNumberFormat="1" applyFont="1" applyBorder="1"/>
    <xf numFmtId="6" fontId="48" fillId="0" borderId="12" xfId="108" applyNumberFormat="1" applyFont="1" applyBorder="1"/>
    <xf numFmtId="170" fontId="48" fillId="0" borderId="11" xfId="10" applyNumberFormat="1" applyFont="1" applyBorder="1"/>
    <xf numFmtId="170" fontId="48" fillId="0" borderId="12" xfId="10" applyNumberFormat="1" applyFont="1" applyBorder="1"/>
    <xf numFmtId="170" fontId="48" fillId="0" borderId="18" xfId="10" applyNumberFormat="1" applyFont="1" applyBorder="1"/>
    <xf numFmtId="0" fontId="12" fillId="0" borderId="0" xfId="0" applyFont="1" applyFill="1" applyAlignment="1">
      <alignment horizontal="center"/>
    </xf>
    <xf numFmtId="170" fontId="32" fillId="0" borderId="11" xfId="10" applyNumberFormat="1" applyFont="1" applyFill="1" applyBorder="1" applyAlignment="1">
      <alignment horizontal="center"/>
    </xf>
    <xf numFmtId="10" fontId="0" fillId="0" borderId="0" xfId="63" applyNumberFormat="1" applyFont="1" applyFill="1" applyBorder="1"/>
    <xf numFmtId="10" fontId="0" fillId="0" borderId="11" xfId="63" applyNumberFormat="1" applyFont="1" applyFill="1" applyBorder="1"/>
    <xf numFmtId="170" fontId="0" fillId="0" borderId="9" xfId="10" applyNumberFormat="1" applyFont="1" applyFill="1" applyBorder="1"/>
    <xf numFmtId="170" fontId="0" fillId="0" borderId="0" xfId="0" applyNumberFormat="1" applyBorder="1"/>
    <xf numFmtId="170" fontId="0" fillId="0" borderId="12" xfId="0" applyNumberFormat="1" applyFill="1" applyBorder="1"/>
    <xf numFmtId="182" fontId="32" fillId="0" borderId="0" xfId="0" applyNumberFormat="1" applyFont="1" applyFill="1" applyAlignment="1">
      <alignment horizontal="right"/>
    </xf>
    <xf numFmtId="170" fontId="3" fillId="0" borderId="12" xfId="10" applyNumberFormat="1" applyFont="1" applyFill="1" applyBorder="1"/>
    <xf numFmtId="170" fontId="32" fillId="0" borderId="0" xfId="10" applyNumberFormat="1" applyFont="1" applyFill="1" applyBorder="1" applyAlignment="1">
      <alignment horizontal="right"/>
    </xf>
    <xf numFmtId="178" fontId="32" fillId="0" borderId="11" xfId="10" applyNumberFormat="1" applyFont="1" applyFill="1" applyBorder="1" applyAlignment="1">
      <alignment horizontal="right"/>
    </xf>
    <xf numFmtId="164" fontId="32" fillId="0" borderId="11" xfId="63" applyNumberFormat="1" applyFont="1" applyFill="1" applyBorder="1"/>
    <xf numFmtId="9" fontId="32" fillId="0" borderId="11" xfId="63" applyFont="1" applyFill="1" applyBorder="1" applyAlignment="1">
      <alignment horizontal="right"/>
    </xf>
    <xf numFmtId="178" fontId="32" fillId="0" borderId="0" xfId="10" applyNumberFormat="1" applyFont="1" applyFill="1" applyBorder="1" applyAlignment="1">
      <alignment horizontal="center"/>
    </xf>
    <xf numFmtId="178" fontId="32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43" fontId="0" fillId="0" borderId="0" xfId="0" applyNumberFormat="1"/>
    <xf numFmtId="43" fontId="3" fillId="0" borderId="0" xfId="10" applyFont="1" applyFill="1" applyAlignment="1">
      <alignment horizontal="center"/>
    </xf>
    <xf numFmtId="170" fontId="3" fillId="0" borderId="0" xfId="10" applyNumberFormat="1" applyFont="1" applyFill="1" applyAlignment="1">
      <alignment horizontal="center"/>
    </xf>
    <xf numFmtId="43" fontId="3" fillId="0" borderId="0" xfId="10" applyFont="1"/>
    <xf numFmtId="170" fontId="3" fillId="0" borderId="0" xfId="10" applyNumberFormat="1" applyFont="1"/>
    <xf numFmtId="170" fontId="3" fillId="0" borderId="11" xfId="10" applyNumberFormat="1" applyFont="1" applyFill="1" applyBorder="1" applyAlignment="1">
      <alignment horizontal="center"/>
    </xf>
    <xf numFmtId="43" fontId="3" fillId="0" borderId="11" xfId="10" applyFont="1" applyFill="1" applyBorder="1" applyAlignment="1">
      <alignment horizontal="center"/>
    </xf>
    <xf numFmtId="170" fontId="3" fillId="0" borderId="11" xfId="10" applyNumberFormat="1" applyFont="1" applyBorder="1"/>
    <xf numFmtId="43" fontId="3" fillId="0" borderId="0" xfId="10" applyNumberFormat="1" applyFont="1"/>
    <xf numFmtId="10" fontId="3" fillId="0" borderId="0" xfId="63" applyNumberFormat="1" applyFont="1"/>
    <xf numFmtId="10" fontId="3" fillId="0" borderId="11" xfId="63" applyNumberFormat="1" applyFont="1" applyBorder="1"/>
    <xf numFmtId="170" fontId="3" fillId="0" borderId="0" xfId="10" applyNumberFormat="1" applyFont="1" applyFill="1"/>
    <xf numFmtId="10" fontId="3" fillId="0" borderId="0" xfId="63" applyNumberFormat="1" applyFont="1" applyFill="1"/>
    <xf numFmtId="43" fontId="3" fillId="0" borderId="0" xfId="10" applyFont="1" applyFill="1"/>
    <xf numFmtId="170" fontId="3" fillId="0" borderId="11" xfId="10" applyNumberFormat="1" applyFont="1" applyFill="1" applyBorder="1"/>
    <xf numFmtId="10" fontId="3" fillId="0" borderId="11" xfId="63" applyNumberFormat="1" applyFont="1" applyFill="1" applyBorder="1"/>
    <xf numFmtId="43" fontId="3" fillId="0" borderId="0" xfId="10" applyNumberFormat="1" applyFont="1" applyFill="1"/>
    <xf numFmtId="184" fontId="3" fillId="0" borderId="0" xfId="10" applyNumberFormat="1" applyFont="1" applyFill="1"/>
    <xf numFmtId="180" fontId="3" fillId="0" borderId="0" xfId="63" applyNumberFormat="1" applyFont="1"/>
    <xf numFmtId="180" fontId="3" fillId="0" borderId="11" xfId="63" applyNumberFormat="1" applyFont="1" applyBorder="1"/>
    <xf numFmtId="170" fontId="3" fillId="0" borderId="12" xfId="10" applyNumberFormat="1" applyFont="1" applyBorder="1"/>
    <xf numFmtId="10" fontId="0" fillId="0" borderId="11" xfId="63" applyNumberFormat="1" applyFont="1" applyBorder="1"/>
    <xf numFmtId="170" fontId="0" fillId="0" borderId="9" xfId="10" applyNumberFormat="1" applyFont="1" applyBorder="1"/>
    <xf numFmtId="10" fontId="3" fillId="0" borderId="0" xfId="63" applyNumberFormat="1" applyFont="1" applyFill="1" applyAlignment="1">
      <alignment horizontal="right"/>
    </xf>
    <xf numFmtId="170" fontId="3" fillId="0" borderId="0" xfId="63" applyNumberFormat="1" applyFont="1" applyFill="1"/>
    <xf numFmtId="43" fontId="3" fillId="0" borderId="0" xfId="10" applyNumberFormat="1" applyFont="1" applyFill="1" applyAlignment="1">
      <alignment horizontal="center"/>
    </xf>
    <xf numFmtId="178" fontId="3" fillId="0" borderId="0" xfId="10" applyNumberFormat="1" applyFont="1" applyFill="1" applyAlignment="1">
      <alignment horizontal="center"/>
    </xf>
    <xf numFmtId="170" fontId="3" fillId="0" borderId="0" xfId="10" applyNumberFormat="1" applyFont="1" applyFill="1" applyAlignment="1">
      <alignment horizontal="left"/>
    </xf>
    <xf numFmtId="0" fontId="3" fillId="0" borderId="0" xfId="109"/>
    <xf numFmtId="0" fontId="3" fillId="0" borderId="0" xfId="109" applyAlignment="1">
      <alignment horizontal="center"/>
    </xf>
    <xf numFmtId="0" fontId="49" fillId="0" borderId="0" xfId="109" applyFont="1" applyAlignment="1">
      <alignment horizontal="centerContinuous"/>
    </xf>
    <xf numFmtId="0" fontId="3" fillId="0" borderId="0" xfId="109" applyFont="1" applyAlignment="1">
      <alignment horizontal="centerContinuous"/>
    </xf>
    <xf numFmtId="185" fontId="3" fillId="0" borderId="0" xfId="109" applyNumberFormat="1" applyFont="1" applyAlignment="1">
      <alignment horizontal="center"/>
    </xf>
    <xf numFmtId="0" fontId="3" fillId="0" borderId="0" xfId="109" applyBorder="1" applyAlignment="1">
      <alignment horizontal="center"/>
    </xf>
    <xf numFmtId="0" fontId="3" fillId="0" borderId="0" xfId="109" applyFont="1" applyBorder="1"/>
    <xf numFmtId="178" fontId="3" fillId="0" borderId="0" xfId="10" applyNumberFormat="1" applyFont="1" applyBorder="1" applyAlignment="1">
      <alignment horizontal="centerContinuous"/>
    </xf>
    <xf numFmtId="178" fontId="46" fillId="0" borderId="0" xfId="10" applyNumberFormat="1" applyFont="1" applyBorder="1" applyAlignment="1">
      <alignment horizontal="centerContinuous"/>
    </xf>
    <xf numFmtId="178" fontId="3" fillId="0" borderId="0" xfId="10" applyNumberFormat="1" applyFont="1" applyBorder="1"/>
    <xf numFmtId="185" fontId="3" fillId="0" borderId="11" xfId="109" applyNumberFormat="1" applyFont="1" applyBorder="1" applyAlignment="1">
      <alignment horizontal="center"/>
    </xf>
    <xf numFmtId="0" fontId="3" fillId="0" borderId="11" xfId="109" applyBorder="1" applyAlignment="1">
      <alignment horizontal="center"/>
    </xf>
    <xf numFmtId="181" fontId="3" fillId="0" borderId="0" xfId="14" applyNumberFormat="1" applyFont="1" applyBorder="1" applyAlignment="1">
      <alignment horizontal="left"/>
    </xf>
    <xf numFmtId="181" fontId="3" fillId="0" borderId="0" xfId="14" applyNumberFormat="1" applyFont="1" applyBorder="1" applyAlignment="1">
      <alignment horizontal="fill"/>
    </xf>
    <xf numFmtId="181" fontId="3" fillId="0" borderId="0" xfId="14" applyNumberFormat="1" applyFont="1" applyBorder="1"/>
    <xf numFmtId="0" fontId="3" fillId="0" borderId="0" xfId="109" quotePrefix="1" applyFont="1" applyBorder="1" applyAlignment="1">
      <alignment horizontal="left"/>
    </xf>
    <xf numFmtId="180" fontId="3" fillId="0" borderId="0" xfId="63" applyNumberFormat="1" applyFont="1" applyBorder="1"/>
    <xf numFmtId="0" fontId="3" fillId="0" borderId="0" xfId="109" applyFont="1" applyBorder="1" applyAlignment="1">
      <alignment horizontal="left"/>
    </xf>
    <xf numFmtId="178" fontId="3" fillId="0" borderId="0" xfId="10" applyNumberFormat="1" applyFont="1" applyBorder="1" applyProtection="1"/>
    <xf numFmtId="180" fontId="3" fillId="0" borderId="0" xfId="63" applyNumberFormat="1" applyFont="1" applyProtection="1"/>
    <xf numFmtId="181" fontId="3" fillId="0" borderId="0" xfId="14" applyNumberFormat="1" applyFont="1" applyBorder="1" applyProtection="1"/>
    <xf numFmtId="180" fontId="3" fillId="0" borderId="0" xfId="63" applyNumberFormat="1" applyFont="1" applyBorder="1" applyProtection="1"/>
    <xf numFmtId="186" fontId="3" fillId="0" borderId="0" xfId="10" applyNumberFormat="1" applyFont="1" applyBorder="1" applyProtection="1"/>
    <xf numFmtId="37" fontId="3" fillId="0" borderId="0" xfId="110" quotePrefix="1" applyFont="1" applyAlignment="1">
      <alignment horizontal="left"/>
    </xf>
    <xf numFmtId="10" fontId="3" fillId="0" borderId="0" xfId="10" applyNumberFormat="1" applyFont="1" applyFill="1" applyBorder="1" applyProtection="1"/>
    <xf numFmtId="0" fontId="3" fillId="0" borderId="0" xfId="109" applyFill="1"/>
    <xf numFmtId="37" fontId="3" fillId="0" borderId="0" xfId="110" quotePrefix="1" applyFont="1" applyBorder="1" applyAlignment="1">
      <alignment horizontal="left"/>
    </xf>
    <xf numFmtId="10" fontId="3" fillId="0" borderId="0" xfId="63" applyNumberFormat="1" applyFont="1" applyFill="1" applyBorder="1" applyProtection="1"/>
    <xf numFmtId="37" fontId="0" fillId="0" borderId="0" xfId="110" quotePrefix="1" applyFont="1" applyBorder="1" applyAlignment="1">
      <alignment horizontal="left"/>
    </xf>
    <xf numFmtId="184" fontId="3" fillId="0" borderId="11" xfId="10" applyNumberFormat="1" applyFont="1" applyFill="1" applyBorder="1" applyProtection="1"/>
    <xf numFmtId="164" fontId="3" fillId="0" borderId="11" xfId="63" applyNumberFormat="1" applyFont="1" applyFill="1" applyBorder="1" applyProtection="1"/>
    <xf numFmtId="183" fontId="3" fillId="0" borderId="0" xfId="10" applyNumberFormat="1" applyFont="1" applyFill="1" applyBorder="1" applyProtection="1"/>
    <xf numFmtId="164" fontId="3" fillId="0" borderId="0" xfId="63" applyNumberFormat="1" applyFont="1" applyFill="1" applyBorder="1" applyProtection="1"/>
    <xf numFmtId="180" fontId="3" fillId="0" borderId="11" xfId="63" applyNumberFormat="1" applyFont="1" applyBorder="1" applyProtection="1"/>
    <xf numFmtId="178" fontId="3" fillId="0" borderId="0" xfId="10" applyNumberFormat="1" applyFont="1" applyBorder="1" applyAlignment="1">
      <alignment horizontal="right"/>
    </xf>
    <xf numFmtId="0" fontId="3" fillId="0" borderId="0" xfId="109" applyFont="1"/>
    <xf numFmtId="168" fontId="3" fillId="0" borderId="0" xfId="63" applyNumberFormat="1" applyFont="1"/>
    <xf numFmtId="168" fontId="3" fillId="0" borderId="11" xfId="63" applyNumberFormat="1" applyFont="1" applyBorder="1"/>
    <xf numFmtId="168" fontId="0" fillId="0" borderId="0" xfId="63" applyNumberFormat="1" applyFont="1"/>
    <xf numFmtId="170" fontId="3" fillId="0" borderId="0" xfId="10" applyNumberFormat="1"/>
    <xf numFmtId="170" fontId="3" fillId="0" borderId="11" xfId="10" applyNumberFormat="1" applyBorder="1"/>
    <xf numFmtId="10" fontId="3" fillId="0" borderId="9" xfId="63" applyNumberFormat="1" applyBorder="1"/>
    <xf numFmtId="180" fontId="3" fillId="0" borderId="0" xfId="63" applyNumberFormat="1" applyFont="1" applyFill="1" applyBorder="1" applyProtection="1"/>
    <xf numFmtId="180" fontId="3" fillId="0" borderId="0" xfId="63" applyNumberFormat="1" applyFont="1" applyFill="1" applyProtection="1"/>
    <xf numFmtId="186" fontId="3" fillId="0" borderId="0" xfId="10" applyNumberFormat="1" applyFont="1" applyFill="1" applyBorder="1" applyProtection="1"/>
    <xf numFmtId="180" fontId="3" fillId="0" borderId="11" xfId="63" applyNumberFormat="1" applyFont="1" applyFill="1" applyBorder="1" applyProtection="1"/>
    <xf numFmtId="168" fontId="3" fillId="0" borderId="12" xfId="63" applyNumberFormat="1" applyFont="1" applyFill="1" applyBorder="1"/>
    <xf numFmtId="185" fontId="3" fillId="0" borderId="0" xfId="109" applyNumberFormat="1" applyFont="1" applyFill="1" applyProtection="1"/>
    <xf numFmtId="187" fontId="3" fillId="0" borderId="12" xfId="109" applyNumberFormat="1" applyFont="1" applyFill="1" applyBorder="1"/>
    <xf numFmtId="187" fontId="3" fillId="0" borderId="0" xfId="109" applyNumberFormat="1" applyFill="1"/>
    <xf numFmtId="185" fontId="3" fillId="0" borderId="0" xfId="109" applyNumberFormat="1" applyFont="1" applyFill="1"/>
    <xf numFmtId="0" fontId="3" fillId="0" borderId="0" xfId="109" applyFont="1" applyFill="1"/>
    <xf numFmtId="180" fontId="3" fillId="0" borderId="0" xfId="63" applyNumberFormat="1" applyFont="1" applyFill="1"/>
    <xf numFmtId="180" fontId="0" fillId="0" borderId="0" xfId="63" applyNumberFormat="1" applyFont="1" applyFill="1"/>
    <xf numFmtId="10" fontId="3" fillId="0" borderId="11" xfId="63" applyNumberFormat="1" applyFont="1" applyFill="1" applyBorder="1" applyProtection="1"/>
    <xf numFmtId="10" fontId="3" fillId="0" borderId="0" xfId="63" applyNumberFormat="1" applyFill="1"/>
    <xf numFmtId="170" fontId="32" fillId="0" borderId="0" xfId="10" applyNumberFormat="1" applyFont="1" applyBorder="1" applyAlignment="1">
      <alignment horizontal="center"/>
    </xf>
    <xf numFmtId="170" fontId="32" fillId="0" borderId="11" xfId="10" applyNumberFormat="1" applyFont="1" applyBorder="1" applyAlignment="1">
      <alignment horizontal="center"/>
    </xf>
    <xf numFmtId="170" fontId="32" fillId="0" borderId="0" xfId="10" applyNumberFormat="1" applyFont="1" applyFill="1" applyAlignment="1">
      <alignment horizontal="left"/>
    </xf>
    <xf numFmtId="164" fontId="0" fillId="0" borderId="11" xfId="63" applyNumberFormat="1" applyFont="1" applyFill="1" applyBorder="1"/>
    <xf numFmtId="0" fontId="1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180" fontId="32" fillId="0" borderId="0" xfId="63" applyNumberFormat="1" applyFont="1" applyFill="1" applyBorder="1" applyAlignment="1">
      <alignment horizontal="center"/>
    </xf>
    <xf numFmtId="180" fontId="32" fillId="0" borderId="11" xfId="63" applyNumberFormat="1" applyFont="1" applyFill="1" applyBorder="1" applyAlignment="1">
      <alignment horizontal="right"/>
    </xf>
    <xf numFmtId="188" fontId="32" fillId="0" borderId="0" xfId="63" applyNumberFormat="1" applyFont="1" applyFill="1"/>
    <xf numFmtId="170" fontId="3" fillId="0" borderId="0" xfId="0" applyNumberFormat="1" applyFont="1"/>
    <xf numFmtId="182" fontId="32" fillId="0" borderId="0" xfId="0" applyNumberFormat="1" applyFont="1" applyFill="1" applyBorder="1" applyAlignment="1">
      <alignment horizontal="right"/>
    </xf>
    <xf numFmtId="0" fontId="48" fillId="0" borderId="0" xfId="108" applyFont="1" applyBorder="1"/>
    <xf numFmtId="170" fontId="5" fillId="0" borderId="0" xfId="10" applyNumberFormat="1" applyFont="1" applyBorder="1"/>
    <xf numFmtId="185" fontId="0" fillId="0" borderId="0" xfId="0" applyNumberFormat="1"/>
    <xf numFmtId="185" fontId="0" fillId="0" borderId="11" xfId="0" applyNumberFormat="1" applyBorder="1"/>
    <xf numFmtId="38" fontId="48" fillId="0" borderId="0" xfId="108" applyNumberFormat="1" applyFont="1"/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24">
    <cellStyle name="7" xfId="1"/>
    <cellStyle name="Actual Date" xfId="2"/>
    <cellStyle name="Affinity Input" xfId="3"/>
    <cellStyle name="Body" xfId="4"/>
    <cellStyle name="ColumnAttributeAbovePrompt" xfId="5"/>
    <cellStyle name="ColumnAttributePrompt" xfId="6"/>
    <cellStyle name="ColumnAttributeValue" xfId="7"/>
    <cellStyle name="ColumnHeadingPrompt" xfId="8"/>
    <cellStyle name="ColumnHeadingValue" xfId="9"/>
    <cellStyle name="Comma" xfId="10" builtinId="3"/>
    <cellStyle name="Comma [0] 2" xfId="111"/>
    <cellStyle name="Comma 2" xfId="11"/>
    <cellStyle name="Comma 3" xfId="106"/>
    <cellStyle name="Comma 4" xfId="112"/>
    <cellStyle name="Comma0" xfId="12"/>
    <cellStyle name="ContentsHyperlink" xfId="13"/>
    <cellStyle name="Currency" xfId="14" builtinId="4"/>
    <cellStyle name="Currency [0] 2" xfId="113"/>
    <cellStyle name="Currency [2]" xfId="15"/>
    <cellStyle name="Currency 2" xfId="16"/>
    <cellStyle name="Currency 3" xfId="114"/>
    <cellStyle name="Currency 4" xfId="115"/>
    <cellStyle name="Currency0" xfId="17"/>
    <cellStyle name="Custom - Style1" xfId="18"/>
    <cellStyle name="Custom - Style8" xfId="19"/>
    <cellStyle name="Data   - Style2" xfId="20"/>
    <cellStyle name="Date" xfId="21"/>
    <cellStyle name="Edit" xfId="22"/>
    <cellStyle name="Engine" xfId="23"/>
    <cellStyle name="Euro" xfId="24"/>
    <cellStyle name="F2" xfId="25"/>
    <cellStyle name="F3" xfId="26"/>
    <cellStyle name="F4" xfId="27"/>
    <cellStyle name="F5" xfId="28"/>
    <cellStyle name="F6" xfId="29"/>
    <cellStyle name="F7" xfId="30"/>
    <cellStyle name="F8" xfId="31"/>
    <cellStyle name="Fixed" xfId="32"/>
    <cellStyle name="Grey" xfId="33"/>
    <cellStyle name="HEADER" xfId="34"/>
    <cellStyle name="Header1" xfId="35"/>
    <cellStyle name="Header2" xfId="36"/>
    <cellStyle name="heading" xfId="37"/>
    <cellStyle name="Heading1" xfId="38"/>
    <cellStyle name="Heading2" xfId="39"/>
    <cellStyle name="HIGHLIGHT" xfId="40"/>
    <cellStyle name="Input [yellow]" xfId="41"/>
    <cellStyle name="Labels - Style3" xfId="42"/>
    <cellStyle name="Large Page Heading" xfId="43"/>
    <cellStyle name="LineItemPrompt" xfId="44"/>
    <cellStyle name="LineItemValue" xfId="45"/>
    <cellStyle name="no dec" xfId="46"/>
    <cellStyle name="No Edit" xfId="47"/>
    <cellStyle name="Normal" xfId="0" builtinId="0"/>
    <cellStyle name="Normal - Style1" xfId="48"/>
    <cellStyle name="Normal - Style2" xfId="49"/>
    <cellStyle name="Normal - Style3" xfId="50"/>
    <cellStyle name="Normal - Style4" xfId="51"/>
    <cellStyle name="Normal - Style5" xfId="52"/>
    <cellStyle name="Normal - Style6" xfId="53"/>
    <cellStyle name="Normal - Style7" xfId="54"/>
    <cellStyle name="Normal - Style8" xfId="55"/>
    <cellStyle name="Normal 11" xfId="116"/>
    <cellStyle name="Normal 2" xfId="56"/>
    <cellStyle name="Normal 2 2" xfId="117"/>
    <cellStyle name="Normal 3" xfId="105"/>
    <cellStyle name="Normal 3 2" xfId="118"/>
    <cellStyle name="Normal 4" xfId="108"/>
    <cellStyle name="Normal 5" xfId="109"/>
    <cellStyle name="Normal 5 2" xfId="119"/>
    <cellStyle name="Normal 6" xfId="120"/>
    <cellStyle name="Normal 6 2" xfId="121"/>
    <cellStyle name="Normal 7" xfId="122"/>
    <cellStyle name="Normal_Composite Tax Rates" xfId="110"/>
    <cellStyle name="nPlosion" xfId="57"/>
    <cellStyle name="Output Amounts" xfId="58"/>
    <cellStyle name="Output Column Headings" xfId="59"/>
    <cellStyle name="Output Line Items" xfId="60"/>
    <cellStyle name="Output Report Heading" xfId="61"/>
    <cellStyle name="Output Report Title" xfId="62"/>
    <cellStyle name="Percent" xfId="63" builtinId="5"/>
    <cellStyle name="Percent [2]" xfId="64"/>
    <cellStyle name="Percent 2" xfId="65"/>
    <cellStyle name="Percent 3" xfId="107"/>
    <cellStyle name="Percent 7" xfId="123"/>
    <cellStyle name="PSChar" xfId="66"/>
    <cellStyle name="ReportTitlePrompt" xfId="67"/>
    <cellStyle name="ReportTitleValue" xfId="68"/>
    <cellStyle name="Reset  - Style4" xfId="69"/>
    <cellStyle name="Reset  - Style7" xfId="70"/>
    <cellStyle name="RowAcctAbovePrompt" xfId="71"/>
    <cellStyle name="RowAcctSOBAbovePrompt" xfId="72"/>
    <cellStyle name="RowAcctSOBValue" xfId="73"/>
    <cellStyle name="RowAcctValue" xfId="74"/>
    <cellStyle name="RowAttrAbovePrompt" xfId="75"/>
    <cellStyle name="RowAttrValue" xfId="76"/>
    <cellStyle name="RowColSetAbovePrompt" xfId="77"/>
    <cellStyle name="RowColSetLeftPrompt" xfId="78"/>
    <cellStyle name="RowColSetValue" xfId="79"/>
    <cellStyle name="RowLeftPrompt" xfId="80"/>
    <cellStyle name="SampleUsingFormatMask" xfId="81"/>
    <cellStyle name="SampleWithNoFormatMask" xfId="82"/>
    <cellStyle name="Small Page Heading" xfId="83"/>
    <cellStyle name="STYL5 - Style5" xfId="84"/>
    <cellStyle name="STYL6 - Style6" xfId="85"/>
    <cellStyle name="STYLE1 - Style1" xfId="86"/>
    <cellStyle name="STYLE2 - Style2" xfId="87"/>
    <cellStyle name="STYLE3 - Style3" xfId="88"/>
    <cellStyle name="STYLE4 - Style4" xfId="89"/>
    <cellStyle name="Table  - Style5" xfId="90"/>
    <cellStyle name="Table  - Style6" xfId="91"/>
    <cellStyle name="Title  - Style1" xfId="92"/>
    <cellStyle name="Title  - Style6" xfId="93"/>
    <cellStyle name="title1" xfId="94"/>
    <cellStyle name="Total" xfId="95" builtinId="25" customBuiltin="1"/>
    <cellStyle name="TotCol - Style5" xfId="96"/>
    <cellStyle name="TotCol - Style7" xfId="97"/>
    <cellStyle name="TotRow - Style4" xfId="98"/>
    <cellStyle name="TotRow - Style8" xfId="99"/>
    <cellStyle name="Unprot" xfId="100"/>
    <cellStyle name="Unprot$" xfId="101"/>
    <cellStyle name="Unprotect" xfId="102"/>
    <cellStyle name="UploadThisRowValue" xfId="103"/>
    <cellStyle name="一般_dept code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/PSC/MA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5Plan/Utility%20Plan/Margin/100504%20Version%20of%20GM%202005%20Plan/KU-Whsle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1999/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/LG&amp;E/2008/lge0308re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6Plan/Utility%20Plan/Supporting%20Schedules/Gross%20Margin/Gross%20Margin%202006-2008%20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Reporting/Tax%20Report/LGE/LGELedger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ellarExhibi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e004977/Temporary%20Internet%20Files/OLK2D/Rate%20Case%20LGE%20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5Plan/Utility%20Plan/Margin/100504%20Version%20of%20GM%202005%20Plan/KU-Whsle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view="pageLayout" zoomScaleNormal="100" workbookViewId="0">
      <selection activeCell="G9" sqref="G9"/>
    </sheetView>
  </sheetViews>
  <sheetFormatPr defaultRowHeight="12.75"/>
  <cols>
    <col min="1" max="1" width="10" customWidth="1"/>
    <col min="2" max="2" width="11" customWidth="1"/>
    <col min="3" max="3" width="12" customWidth="1"/>
    <col min="4" max="6" width="11.7109375" customWidth="1"/>
    <col min="7" max="7" width="5.5703125" customWidth="1"/>
    <col min="8" max="8" width="12.42578125" customWidth="1"/>
    <col min="9" max="9" width="3.140625" customWidth="1"/>
    <col min="10" max="10" width="11.7109375" customWidth="1"/>
  </cols>
  <sheetData>
    <row r="1" spans="1:11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1">
      <c r="A2" s="375" t="s">
        <v>375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1">
      <c r="A3" s="376" t="s">
        <v>65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1">
      <c r="A4" s="375" t="s">
        <v>373</v>
      </c>
      <c r="B4" s="374"/>
      <c r="C4" s="374"/>
      <c r="D4" s="374"/>
      <c r="E4" s="374"/>
      <c r="F4" s="374"/>
      <c r="G4" s="374"/>
      <c r="H4" s="374"/>
      <c r="I4" s="374"/>
      <c r="J4" s="374"/>
    </row>
    <row r="5" spans="1:11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</row>
    <row r="6" spans="1:11">
      <c r="A6" s="37"/>
      <c r="B6" s="37"/>
      <c r="C6" s="104"/>
      <c r="D6" s="104"/>
      <c r="E6" s="104"/>
      <c r="F6" s="104"/>
      <c r="G6" s="104"/>
      <c r="H6" s="37"/>
      <c r="I6" s="104"/>
      <c r="J6" s="37"/>
    </row>
    <row r="7" spans="1:11">
      <c r="A7" s="166" t="s">
        <v>372</v>
      </c>
      <c r="B7" s="39"/>
      <c r="C7" s="39"/>
      <c r="D7" s="39"/>
      <c r="E7" s="39"/>
      <c r="F7" s="39"/>
      <c r="G7" s="39"/>
      <c r="H7" s="60">
        <v>2017</v>
      </c>
      <c r="I7" s="39"/>
      <c r="J7" s="60">
        <v>2018</v>
      </c>
    </row>
    <row r="8" spans="1:11">
      <c r="A8" s="38"/>
      <c r="B8" s="39"/>
      <c r="C8" s="39"/>
      <c r="D8" s="39"/>
      <c r="E8" s="39"/>
      <c r="F8" s="39"/>
      <c r="G8" s="39"/>
      <c r="H8" s="39"/>
      <c r="I8" s="39"/>
      <c r="J8" s="39"/>
    </row>
    <row r="9" spans="1:11">
      <c r="A9" s="166" t="s">
        <v>381</v>
      </c>
      <c r="B9" s="39"/>
      <c r="C9" s="39"/>
      <c r="D9" s="39"/>
      <c r="E9" s="39"/>
      <c r="F9" s="39"/>
      <c r="G9" s="39"/>
      <c r="H9" s="227">
        <v>19.5</v>
      </c>
      <c r="I9" s="39"/>
      <c r="J9" s="227">
        <v>19.5</v>
      </c>
    </row>
    <row r="10" spans="1:11">
      <c r="A10" s="166"/>
      <c r="B10" s="39"/>
      <c r="C10" s="39"/>
      <c r="D10" s="39"/>
      <c r="E10" s="39"/>
      <c r="F10" s="39"/>
      <c r="G10" s="39"/>
      <c r="H10" s="39"/>
      <c r="I10" s="39"/>
      <c r="J10" s="39"/>
    </row>
    <row r="11" spans="1:11">
      <c r="A11" s="166" t="s">
        <v>374</v>
      </c>
      <c r="B11" s="166"/>
      <c r="C11" s="166"/>
      <c r="D11" s="166"/>
      <c r="E11" s="166"/>
      <c r="F11" s="166"/>
      <c r="G11" s="166"/>
      <c r="H11" s="228">
        <v>4</v>
      </c>
      <c r="I11" s="39"/>
      <c r="J11" s="228">
        <v>4</v>
      </c>
    </row>
    <row r="12" spans="1:11">
      <c r="A12" s="166"/>
      <c r="B12" s="39"/>
      <c r="C12" s="39"/>
      <c r="D12" s="39"/>
      <c r="E12" s="39"/>
      <c r="F12" s="39"/>
      <c r="G12" s="39"/>
      <c r="H12" s="39"/>
      <c r="I12" s="39"/>
      <c r="J12" s="39"/>
    </row>
    <row r="13" spans="1:11" ht="13.5" thickBot="1">
      <c r="A13" s="166" t="s">
        <v>376</v>
      </c>
      <c r="B13" s="176"/>
      <c r="C13" s="176"/>
      <c r="D13" s="176"/>
      <c r="E13" s="176"/>
      <c r="F13" s="176"/>
      <c r="G13" s="176"/>
      <c r="H13" s="230">
        <f>-H9/H11</f>
        <v>-4.875</v>
      </c>
      <c r="I13" s="39"/>
      <c r="J13" s="230">
        <f>-J9/J11</f>
        <v>-4.875</v>
      </c>
    </row>
    <row r="14" spans="1:11" ht="13.5" thickTop="1">
      <c r="A14" s="166"/>
      <c r="B14" s="166"/>
      <c r="C14" s="166"/>
      <c r="D14" s="166"/>
      <c r="E14" s="166"/>
      <c r="F14" s="166"/>
      <c r="G14" s="166"/>
      <c r="H14" s="39"/>
      <c r="I14" s="39"/>
      <c r="J14" s="39"/>
    </row>
    <row r="15" spans="1:11">
      <c r="A15" s="166" t="s">
        <v>380</v>
      </c>
      <c r="B15" s="39"/>
      <c r="C15" s="39"/>
      <c r="D15" s="39"/>
      <c r="E15" s="39"/>
      <c r="F15" s="39"/>
      <c r="G15" s="39"/>
      <c r="H15" s="233">
        <v>0.96745400000000004</v>
      </c>
      <c r="I15" s="232"/>
      <c r="J15" s="233">
        <v>0.96820399999999995</v>
      </c>
      <c r="K15" s="191"/>
    </row>
    <row r="16" spans="1:11">
      <c r="A16" s="166"/>
      <c r="B16" s="39"/>
      <c r="C16" s="39"/>
      <c r="D16" s="39"/>
      <c r="E16" s="39"/>
      <c r="F16" s="39"/>
      <c r="G16" s="39"/>
      <c r="H16" s="232"/>
      <c r="I16" s="232"/>
      <c r="J16" s="232"/>
      <c r="K16" s="191"/>
    </row>
    <row r="17" spans="1:11" ht="13.5" thickBot="1">
      <c r="A17" s="166" t="s">
        <v>378</v>
      </c>
      <c r="B17" s="39"/>
      <c r="C17" s="39"/>
      <c r="D17" s="39"/>
      <c r="E17" s="39"/>
      <c r="F17" s="39"/>
      <c r="G17" s="39"/>
      <c r="H17" s="230">
        <f>H13*H15</f>
        <v>-4.7163382499999997</v>
      </c>
      <c r="I17" s="232"/>
      <c r="J17" s="230">
        <f>J13*J15</f>
        <v>-4.7199944999999994</v>
      </c>
      <c r="K17" s="191"/>
    </row>
    <row r="18" spans="1:11" ht="13.5" thickTop="1">
      <c r="A18" s="166"/>
      <c r="B18" s="39"/>
      <c r="C18" s="39"/>
      <c r="D18" s="39"/>
      <c r="E18" s="39"/>
      <c r="F18" s="39"/>
      <c r="G18" s="39"/>
      <c r="H18" s="229"/>
      <c r="I18" s="232"/>
      <c r="J18" s="229"/>
      <c r="K18" s="191"/>
    </row>
    <row r="19" spans="1:11">
      <c r="A19" s="166"/>
      <c r="B19" s="39"/>
      <c r="C19" s="39"/>
      <c r="D19" s="39"/>
      <c r="E19" s="39"/>
      <c r="F19" s="39"/>
      <c r="G19" s="39"/>
      <c r="H19" s="229"/>
      <c r="I19" s="232"/>
      <c r="J19" s="229"/>
      <c r="K19" s="191"/>
    </row>
    <row r="20" spans="1:11">
      <c r="A20" s="166"/>
      <c r="B20" s="39"/>
      <c r="C20" s="39"/>
      <c r="D20" s="39"/>
      <c r="E20" s="39"/>
      <c r="F20" s="39"/>
      <c r="G20" s="39"/>
      <c r="H20" s="39"/>
      <c r="I20" s="39"/>
      <c r="J20" s="39"/>
    </row>
    <row r="21" spans="1:11">
      <c r="A21" s="166" t="s">
        <v>379</v>
      </c>
      <c r="B21" s="39"/>
      <c r="C21" s="39"/>
      <c r="D21" s="39"/>
      <c r="E21" s="39"/>
      <c r="F21" s="39"/>
      <c r="G21" s="39"/>
      <c r="H21" s="231">
        <f>(B49-B44)*H15</f>
        <v>2.4549145250000013</v>
      </c>
      <c r="I21" s="39"/>
      <c r="J21" s="231">
        <f>(E49-E44)*J15</f>
        <v>7.0799917499999996</v>
      </c>
    </row>
    <row r="22" spans="1:11">
      <c r="A22" s="29"/>
      <c r="B22" s="42"/>
      <c r="C22" s="42"/>
      <c r="D22" s="42"/>
      <c r="E22" s="42"/>
      <c r="F22" s="42"/>
      <c r="G22" s="42"/>
      <c r="H22" s="42"/>
      <c r="I22" s="42"/>
      <c r="J22" s="42"/>
    </row>
    <row r="23" spans="1:11">
      <c r="A23" s="41" t="s">
        <v>55</v>
      </c>
      <c r="B23" s="41"/>
      <c r="C23" s="41"/>
      <c r="D23" s="41"/>
      <c r="E23" s="41"/>
      <c r="F23" s="41"/>
      <c r="G23" s="41"/>
      <c r="H23" s="51">
        <f>'Exh. LK-28'!J19</f>
        <v>9.8804316192411479E-2</v>
      </c>
      <c r="I23" s="41"/>
      <c r="J23" s="51">
        <f>'Exh. LK-29'!J19</f>
        <v>9.9784915778226832E-2</v>
      </c>
    </row>
    <row r="24" spans="1:11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1" ht="13.5" thickBot="1">
      <c r="A25" s="167" t="s">
        <v>377</v>
      </c>
      <c r="B25" s="167"/>
      <c r="C25" s="167"/>
      <c r="D25" s="167"/>
      <c r="E25" s="167"/>
      <c r="F25" s="167"/>
      <c r="G25" s="167"/>
      <c r="H25" s="58">
        <f>H21*H23</f>
        <v>0.24255615095344377</v>
      </c>
      <c r="I25" s="41"/>
      <c r="J25" s="58">
        <f>J21*J23</f>
        <v>0.70647638048429073</v>
      </c>
    </row>
    <row r="26" spans="1:11" ht="13.5" thickTop="1">
      <c r="A26" s="167"/>
      <c r="B26" s="167"/>
      <c r="C26" s="167"/>
      <c r="D26" s="167"/>
      <c r="E26" s="167"/>
      <c r="F26" s="167"/>
      <c r="G26" s="167"/>
      <c r="H26" s="44"/>
      <c r="I26" s="41"/>
      <c r="J26" s="44"/>
    </row>
    <row r="27" spans="1:11">
      <c r="A27" s="167"/>
      <c r="B27" s="167"/>
      <c r="C27" s="167"/>
      <c r="D27" s="167"/>
      <c r="E27" s="167"/>
      <c r="F27" s="167"/>
      <c r="G27" s="167"/>
      <c r="H27" s="44"/>
      <c r="I27" s="41"/>
      <c r="J27" s="44"/>
    </row>
    <row r="28" spans="1:11">
      <c r="A28" s="29"/>
      <c r="B28" s="167" t="s">
        <v>382</v>
      </c>
      <c r="C28" s="42"/>
      <c r="D28" s="42"/>
      <c r="E28" s="42"/>
      <c r="F28" s="42"/>
      <c r="G28" s="42"/>
      <c r="H28" s="42"/>
      <c r="I28" s="42"/>
      <c r="J28" s="42"/>
    </row>
    <row r="29" spans="1:11">
      <c r="A29" s="29"/>
      <c r="B29" s="155" t="s">
        <v>57</v>
      </c>
      <c r="C29" s="42"/>
      <c r="D29" s="42"/>
      <c r="E29" s="42"/>
      <c r="F29" s="42"/>
      <c r="G29" s="42"/>
      <c r="H29" s="42"/>
      <c r="I29" s="42"/>
      <c r="J29" s="42"/>
    </row>
    <row r="30" spans="1:11">
      <c r="A30" s="234">
        <v>42705</v>
      </c>
      <c r="B30" s="236">
        <v>19.5</v>
      </c>
      <c r="C30" s="167"/>
      <c r="D30" s="234">
        <v>43070</v>
      </c>
      <c r="E30" s="237">
        <f>B42</f>
        <v>14.625</v>
      </c>
      <c r="F30" s="167"/>
      <c r="G30" s="167"/>
      <c r="H30" s="42"/>
      <c r="I30" s="42"/>
      <c r="J30" s="42"/>
    </row>
    <row r="31" spans="1:11">
      <c r="A31" s="235">
        <v>42736</v>
      </c>
      <c r="B31" s="45">
        <f>B30+($H$13/12)</f>
        <v>19.09375</v>
      </c>
      <c r="C31" s="42"/>
      <c r="D31" s="235">
        <v>43101</v>
      </c>
      <c r="E31" s="45">
        <f>E30+($J$13/12)</f>
        <v>14.21875</v>
      </c>
      <c r="F31" s="42"/>
      <c r="G31" s="42"/>
      <c r="H31" s="42"/>
      <c r="I31" s="42"/>
      <c r="J31" s="42"/>
    </row>
    <row r="32" spans="1:11">
      <c r="A32" s="234">
        <v>42767</v>
      </c>
      <c r="B32" s="45">
        <f t="shared" ref="B32:B42" si="0">B31+($H$13/12)</f>
        <v>18.6875</v>
      </c>
      <c r="C32" s="42"/>
      <c r="D32" s="234">
        <v>43132</v>
      </c>
      <c r="E32" s="45">
        <f t="shared" ref="E32:E42" si="1">E31+($J$13/12)</f>
        <v>13.8125</v>
      </c>
      <c r="F32" s="42"/>
      <c r="G32" s="42"/>
      <c r="H32" s="42"/>
      <c r="I32" s="42"/>
      <c r="J32" s="42"/>
    </row>
    <row r="33" spans="1:10">
      <c r="A33" s="235">
        <v>42795</v>
      </c>
      <c r="B33" s="45">
        <f t="shared" si="0"/>
        <v>18.28125</v>
      </c>
      <c r="C33" s="42"/>
      <c r="D33" s="235">
        <v>43160</v>
      </c>
      <c r="E33" s="45">
        <f t="shared" si="1"/>
        <v>13.40625</v>
      </c>
      <c r="F33" s="42"/>
      <c r="G33" s="42"/>
      <c r="H33" s="42"/>
      <c r="I33" s="42"/>
      <c r="J33" s="42"/>
    </row>
    <row r="34" spans="1:10">
      <c r="A34" s="234">
        <v>42826</v>
      </c>
      <c r="B34" s="45">
        <f t="shared" si="0"/>
        <v>17.875</v>
      </c>
      <c r="C34" s="42"/>
      <c r="D34" s="234">
        <v>43191</v>
      </c>
      <c r="E34" s="45">
        <f t="shared" si="1"/>
        <v>13</v>
      </c>
      <c r="F34" s="42"/>
      <c r="G34" s="42"/>
      <c r="H34" s="42"/>
      <c r="I34" s="42"/>
      <c r="J34" s="42"/>
    </row>
    <row r="35" spans="1:10">
      <c r="A35" s="235">
        <v>42856</v>
      </c>
      <c r="B35" s="45">
        <f t="shared" si="0"/>
        <v>17.46875</v>
      </c>
      <c r="C35" s="42"/>
      <c r="D35" s="235">
        <v>43221</v>
      </c>
      <c r="E35" s="45">
        <f t="shared" si="1"/>
        <v>12.59375</v>
      </c>
      <c r="F35" s="42"/>
      <c r="G35" s="42"/>
      <c r="H35" s="42"/>
      <c r="I35" s="42"/>
      <c r="J35" s="42"/>
    </row>
    <row r="36" spans="1:10">
      <c r="A36" s="234">
        <v>42887</v>
      </c>
      <c r="B36" s="45">
        <f t="shared" si="0"/>
        <v>17.0625</v>
      </c>
      <c r="C36" s="42"/>
      <c r="D36" s="234">
        <v>43252</v>
      </c>
      <c r="E36" s="45">
        <f t="shared" si="1"/>
        <v>12.1875</v>
      </c>
      <c r="F36" s="42"/>
      <c r="G36" s="42"/>
      <c r="H36" s="42"/>
      <c r="I36" s="42"/>
      <c r="J36" s="42"/>
    </row>
    <row r="37" spans="1:10">
      <c r="A37" s="235">
        <v>42917</v>
      </c>
      <c r="B37" s="45">
        <f t="shared" si="0"/>
        <v>16.65625</v>
      </c>
      <c r="C37" s="42"/>
      <c r="D37" s="235">
        <v>43282</v>
      </c>
      <c r="E37" s="45">
        <f t="shared" si="1"/>
        <v>11.78125</v>
      </c>
      <c r="F37" s="42"/>
      <c r="G37" s="42"/>
      <c r="H37" s="42"/>
      <c r="I37" s="42"/>
      <c r="J37" s="42"/>
    </row>
    <row r="38" spans="1:10">
      <c r="A38" s="234">
        <v>42948</v>
      </c>
      <c r="B38" s="45">
        <f t="shared" si="0"/>
        <v>16.25</v>
      </c>
      <c r="C38" s="42"/>
      <c r="D38" s="234">
        <v>43313</v>
      </c>
      <c r="E38" s="45">
        <f t="shared" si="1"/>
        <v>11.375</v>
      </c>
      <c r="F38" s="42"/>
      <c r="G38" s="42"/>
      <c r="H38" s="42"/>
      <c r="I38" s="42"/>
      <c r="J38" s="45"/>
    </row>
    <row r="39" spans="1:10">
      <c r="A39" s="235">
        <v>42979</v>
      </c>
      <c r="B39" s="45">
        <f t="shared" si="0"/>
        <v>15.84375</v>
      </c>
      <c r="C39" s="42"/>
      <c r="D39" s="235">
        <v>43344</v>
      </c>
      <c r="E39" s="45">
        <f t="shared" si="1"/>
        <v>10.96875</v>
      </c>
      <c r="F39" s="42"/>
      <c r="G39" s="42"/>
      <c r="H39" s="42"/>
      <c r="I39" s="42"/>
      <c r="J39" s="42"/>
    </row>
    <row r="40" spans="1:10">
      <c r="A40" s="234">
        <v>43009</v>
      </c>
      <c r="B40" s="45">
        <f t="shared" si="0"/>
        <v>15.4375</v>
      </c>
      <c r="C40" s="42"/>
      <c r="D40" s="234">
        <v>43374</v>
      </c>
      <c r="E40" s="45">
        <f t="shared" si="1"/>
        <v>10.5625</v>
      </c>
      <c r="F40" s="42"/>
      <c r="G40" s="42"/>
      <c r="H40" s="42"/>
      <c r="I40" s="42"/>
      <c r="J40" s="42"/>
    </row>
    <row r="41" spans="1:10">
      <c r="A41" s="235">
        <v>43040</v>
      </c>
      <c r="B41" s="45">
        <f t="shared" si="0"/>
        <v>15.03125</v>
      </c>
      <c r="C41" s="42"/>
      <c r="D41" s="235">
        <v>43405</v>
      </c>
      <c r="E41" s="45">
        <f t="shared" si="1"/>
        <v>10.15625</v>
      </c>
      <c r="F41" s="42"/>
      <c r="G41" s="42"/>
      <c r="H41" s="42"/>
      <c r="I41" s="42"/>
      <c r="J41" s="42"/>
    </row>
    <row r="42" spans="1:10">
      <c r="A42" s="234">
        <v>43070</v>
      </c>
      <c r="B42" s="198">
        <f t="shared" si="0"/>
        <v>14.625</v>
      </c>
      <c r="C42" s="42"/>
      <c r="D42" s="234">
        <v>43435</v>
      </c>
      <c r="E42" s="198">
        <f t="shared" si="1"/>
        <v>9.75</v>
      </c>
      <c r="F42" s="42"/>
      <c r="G42" s="42"/>
      <c r="H42" s="42"/>
      <c r="I42" s="42"/>
      <c r="J42" s="42"/>
    </row>
    <row r="43" spans="1:10">
      <c r="B43" s="26"/>
      <c r="C43" s="26"/>
      <c r="D43" s="26"/>
      <c r="E43" s="26"/>
      <c r="F43" s="26"/>
      <c r="G43" s="26"/>
      <c r="H43" s="26"/>
      <c r="I43" s="26"/>
      <c r="J43" s="26"/>
    </row>
    <row r="44" spans="1:10" ht="13.5" thickBot="1">
      <c r="A44" s="158" t="s">
        <v>383</v>
      </c>
      <c r="B44" s="209">
        <f>SUM(B30:B43)/13</f>
        <v>17.0625</v>
      </c>
      <c r="C44" s="26"/>
      <c r="D44" s="26"/>
      <c r="E44" s="209">
        <f>SUM(E30:E43)/13</f>
        <v>12.1875</v>
      </c>
      <c r="F44" s="26"/>
      <c r="G44" s="26"/>
      <c r="H44" s="26"/>
      <c r="I44" s="26"/>
      <c r="J44" s="26"/>
    </row>
    <row r="45" spans="1:10" ht="13.5" thickTop="1">
      <c r="A45" s="158" t="s">
        <v>384</v>
      </c>
      <c r="B45" s="26"/>
      <c r="C45" s="26"/>
      <c r="D45" s="26"/>
      <c r="E45" s="26"/>
      <c r="F45" s="26"/>
      <c r="G45" s="26"/>
      <c r="H45" s="26"/>
      <c r="I45" s="26"/>
      <c r="J45" s="26"/>
    </row>
    <row r="46" spans="1:10">
      <c r="B46" s="26"/>
      <c r="C46" s="26"/>
      <c r="D46" s="26"/>
      <c r="E46" s="26"/>
      <c r="F46" s="26"/>
      <c r="G46" s="26"/>
      <c r="H46" s="26"/>
      <c r="I46" s="26"/>
      <c r="J46" s="26"/>
    </row>
    <row r="47" spans="1:10">
      <c r="B47" s="26"/>
      <c r="C47" s="26"/>
      <c r="D47" s="26"/>
      <c r="E47" s="26"/>
      <c r="F47" s="26"/>
      <c r="G47" s="26"/>
      <c r="H47" s="26"/>
      <c r="I47" s="26"/>
      <c r="J47" s="26"/>
    </row>
    <row r="48" spans="1:10">
      <c r="A48" s="167" t="s">
        <v>385</v>
      </c>
      <c r="B48" s="167"/>
      <c r="C48" s="167"/>
      <c r="D48" s="167"/>
      <c r="E48" s="167"/>
      <c r="F48" s="26"/>
      <c r="G48" s="26"/>
      <c r="H48" s="26"/>
      <c r="I48" s="26"/>
      <c r="J48" s="26"/>
    </row>
    <row r="49" spans="1:10">
      <c r="A49" s="167">
        <v>2017</v>
      </c>
      <c r="B49" s="236">
        <v>19.600000000000001</v>
      </c>
      <c r="C49" s="167"/>
      <c r="D49" s="167">
        <v>2018</v>
      </c>
      <c r="E49" s="236">
        <v>19.5</v>
      </c>
      <c r="F49" s="26"/>
      <c r="G49" s="26"/>
      <c r="H49" s="26"/>
      <c r="I49" s="26"/>
      <c r="J49" s="26"/>
    </row>
    <row r="50" spans="1:10">
      <c r="B50" s="26"/>
      <c r="C50" s="26"/>
      <c r="D50" s="26"/>
      <c r="E50" s="26"/>
      <c r="F50" s="26"/>
      <c r="G50" s="26"/>
      <c r="H50" s="26"/>
      <c r="I50" s="26"/>
      <c r="J50" s="26"/>
    </row>
    <row r="51" spans="1:10">
      <c r="B51" s="26"/>
      <c r="C51" s="26"/>
      <c r="D51" s="26"/>
      <c r="E51" s="26"/>
      <c r="F51" s="26"/>
      <c r="G51" s="26"/>
      <c r="H51" s="26"/>
      <c r="I51" s="26"/>
      <c r="J51" s="26"/>
    </row>
    <row r="52" spans="1:10">
      <c r="B52" s="26"/>
      <c r="C52" s="26"/>
      <c r="D52" s="26"/>
      <c r="E52" s="26"/>
      <c r="F52" s="26"/>
      <c r="G52" s="26"/>
      <c r="H52" s="26"/>
      <c r="I52" s="26"/>
      <c r="J52" s="26"/>
    </row>
    <row r="53" spans="1:10"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B54" s="26"/>
      <c r="C54" s="26"/>
      <c r="D54" s="26"/>
      <c r="E54" s="26"/>
      <c r="F54" s="26"/>
      <c r="G54" s="26"/>
      <c r="H54" s="26"/>
      <c r="I54" s="26"/>
      <c r="J54" s="26"/>
    </row>
    <row r="55" spans="1:10">
      <c r="B55" s="26"/>
      <c r="C55" s="26"/>
      <c r="D55" s="26"/>
      <c r="E55" s="26"/>
      <c r="F55" s="26"/>
      <c r="G55" s="26"/>
      <c r="H55" s="26"/>
      <c r="I55" s="26"/>
      <c r="J55" s="26"/>
    </row>
    <row r="56" spans="1:10">
      <c r="B56" s="26"/>
      <c r="C56" s="26"/>
      <c r="D56" s="26"/>
      <c r="E56" s="26"/>
      <c r="F56" s="26"/>
      <c r="G56" s="26"/>
      <c r="H56" s="26"/>
      <c r="I56" s="26"/>
      <c r="J56" s="26"/>
    </row>
    <row r="57" spans="1:10">
      <c r="B57" s="26"/>
      <c r="C57" s="26"/>
      <c r="D57" s="26"/>
      <c r="E57" s="26"/>
      <c r="F57" s="26"/>
      <c r="G57" s="26"/>
      <c r="H57" s="26"/>
      <c r="I57" s="26"/>
      <c r="J57" s="26"/>
    </row>
    <row r="58" spans="1:10">
      <c r="B58" s="26"/>
      <c r="C58" s="26"/>
      <c r="D58" s="26"/>
      <c r="E58" s="26"/>
      <c r="F58" s="26"/>
      <c r="G58" s="26"/>
      <c r="H58" s="26"/>
      <c r="I58" s="26"/>
      <c r="J58" s="26"/>
    </row>
    <row r="59" spans="1:10">
      <c r="B59" s="26"/>
      <c r="C59" s="26"/>
      <c r="D59" s="26"/>
      <c r="E59" s="26"/>
      <c r="F59" s="26"/>
      <c r="G59" s="26"/>
      <c r="H59" s="26"/>
      <c r="I59" s="26"/>
      <c r="J59" s="26"/>
    </row>
    <row r="60" spans="1:10">
      <c r="B60" s="26"/>
      <c r="C60" s="26"/>
      <c r="D60" s="26"/>
      <c r="E60" s="26"/>
      <c r="F60" s="26"/>
      <c r="G60" s="26"/>
      <c r="H60" s="26"/>
      <c r="I60" s="26"/>
      <c r="J60" s="26"/>
    </row>
    <row r="61" spans="1:10">
      <c r="B61" s="26"/>
      <c r="C61" s="26"/>
      <c r="D61" s="26"/>
      <c r="E61" s="26"/>
      <c r="F61" s="26"/>
      <c r="G61" s="26"/>
      <c r="H61" s="26"/>
      <c r="I61" s="26"/>
      <c r="J61" s="26"/>
    </row>
    <row r="62" spans="1:10">
      <c r="B62" s="26"/>
      <c r="C62" s="26"/>
      <c r="D62" s="26"/>
      <c r="E62" s="26"/>
      <c r="F62" s="26"/>
      <c r="G62" s="26"/>
      <c r="H62" s="26"/>
      <c r="I62" s="26"/>
      <c r="J62" s="26"/>
    </row>
    <row r="63" spans="1:10">
      <c r="B63" s="26"/>
      <c r="C63" s="26"/>
      <c r="D63" s="26"/>
      <c r="E63" s="26"/>
      <c r="F63" s="26"/>
      <c r="G63" s="26"/>
      <c r="H63" s="26"/>
      <c r="I63" s="26"/>
      <c r="J63" s="26"/>
    </row>
    <row r="64" spans="1:10">
      <c r="B64" s="26"/>
      <c r="C64" s="26"/>
      <c r="D64" s="26"/>
      <c r="E64" s="26"/>
      <c r="F64" s="26"/>
      <c r="G64" s="26"/>
      <c r="H64" s="26"/>
      <c r="I64" s="26"/>
      <c r="J64" s="26"/>
    </row>
    <row r="65" spans="2:10">
      <c r="B65" s="26"/>
      <c r="C65" s="26"/>
      <c r="D65" s="26"/>
      <c r="E65" s="26"/>
      <c r="F65" s="26"/>
      <c r="G65" s="26"/>
      <c r="H65" s="26"/>
      <c r="I65" s="26"/>
      <c r="J65" s="26"/>
    </row>
    <row r="66" spans="2:10">
      <c r="B66" s="26"/>
      <c r="C66" s="26"/>
      <c r="D66" s="26"/>
      <c r="E66" s="26"/>
      <c r="F66" s="26"/>
      <c r="G66" s="26"/>
      <c r="H66" s="26"/>
      <c r="I66" s="26"/>
      <c r="J66" s="26"/>
    </row>
    <row r="67" spans="2:10">
      <c r="B67" s="26"/>
      <c r="C67" s="26"/>
      <c r="D67" s="26"/>
      <c r="E67" s="26"/>
      <c r="F67" s="26"/>
      <c r="G67" s="26"/>
      <c r="H67" s="26"/>
      <c r="I67" s="26"/>
      <c r="J67" s="26"/>
    </row>
    <row r="68" spans="2:10">
      <c r="B68" s="26"/>
      <c r="C68" s="26"/>
      <c r="D68" s="26"/>
      <c r="E68" s="26"/>
      <c r="F68" s="26"/>
      <c r="G68" s="26"/>
      <c r="H68" s="26"/>
      <c r="I68" s="26"/>
      <c r="J68" s="26"/>
    </row>
    <row r="69" spans="2:10">
      <c r="B69" s="26"/>
      <c r="C69" s="26"/>
      <c r="D69" s="26"/>
      <c r="E69" s="26"/>
      <c r="F69" s="26"/>
      <c r="G69" s="26"/>
      <c r="H69" s="26"/>
      <c r="I69" s="26"/>
      <c r="J69" s="26"/>
    </row>
  </sheetData>
  <mergeCells count="5">
    <mergeCell ref="A1:J1"/>
    <mergeCell ref="A2:J2"/>
    <mergeCell ref="A3:J3"/>
    <mergeCell ref="A4:J4"/>
    <mergeCell ref="A5:J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Layout" zoomScaleNormal="100" workbookViewId="0">
      <selection activeCell="G9" sqref="G9"/>
    </sheetView>
  </sheetViews>
  <sheetFormatPr defaultRowHeight="12.75"/>
  <cols>
    <col min="1" max="1" width="8.85546875" customWidth="1"/>
    <col min="2" max="5" width="11.7109375" customWidth="1"/>
    <col min="6" max="6" width="3.140625" customWidth="1"/>
    <col min="7" max="7" width="12.28515625" customWidth="1"/>
    <col min="8" max="8" width="3.140625" customWidth="1"/>
    <col min="9" max="9" width="12.28515625" customWidth="1"/>
  </cols>
  <sheetData>
    <row r="1" spans="1:9">
      <c r="A1" s="374" t="s">
        <v>33</v>
      </c>
      <c r="B1" s="374"/>
      <c r="C1" s="374"/>
      <c r="D1" s="374"/>
      <c r="E1" s="374"/>
      <c r="F1" s="374"/>
      <c r="G1" s="374"/>
      <c r="H1" s="374"/>
      <c r="I1" s="374"/>
    </row>
    <row r="2" spans="1:9">
      <c r="A2" s="375" t="s">
        <v>601</v>
      </c>
      <c r="B2" s="374"/>
      <c r="C2" s="374"/>
      <c r="D2" s="374"/>
      <c r="E2" s="374"/>
      <c r="F2" s="374"/>
      <c r="G2" s="374"/>
      <c r="H2" s="374"/>
      <c r="I2" s="374"/>
    </row>
    <row r="3" spans="1:9">
      <c r="A3" s="375" t="s">
        <v>65</v>
      </c>
      <c r="B3" s="375"/>
      <c r="C3" s="375"/>
      <c r="D3" s="375"/>
      <c r="E3" s="375"/>
      <c r="F3" s="375"/>
      <c r="G3" s="375"/>
      <c r="H3" s="375"/>
      <c r="I3" s="375"/>
    </row>
    <row r="4" spans="1:9">
      <c r="A4" s="375" t="s">
        <v>66</v>
      </c>
      <c r="B4" s="374"/>
      <c r="C4" s="374"/>
      <c r="D4" s="374"/>
      <c r="E4" s="374"/>
      <c r="F4" s="374"/>
      <c r="G4" s="374"/>
      <c r="H4" s="374"/>
      <c r="I4" s="374"/>
    </row>
    <row r="5" spans="1:9">
      <c r="A5" s="374" t="s">
        <v>19</v>
      </c>
      <c r="B5" s="374"/>
      <c r="C5" s="374"/>
      <c r="D5" s="374"/>
      <c r="E5" s="374"/>
      <c r="F5" s="374"/>
      <c r="G5" s="374"/>
      <c r="H5" s="374"/>
      <c r="I5" s="374"/>
    </row>
    <row r="6" spans="1:9">
      <c r="A6" s="163"/>
      <c r="B6" s="163"/>
      <c r="C6" s="163"/>
      <c r="D6" s="163"/>
      <c r="E6" s="163"/>
      <c r="F6" s="163"/>
      <c r="G6" s="163"/>
      <c r="H6" s="163"/>
      <c r="I6" s="163"/>
    </row>
    <row r="7" spans="1:9">
      <c r="A7" s="166" t="s">
        <v>449</v>
      </c>
      <c r="B7" s="39"/>
      <c r="C7" s="39"/>
      <c r="D7" s="39"/>
      <c r="E7" s="39"/>
      <c r="F7" s="39"/>
      <c r="G7" s="39"/>
      <c r="H7" s="39"/>
      <c r="I7" s="39"/>
    </row>
    <row r="8" spans="1:9">
      <c r="A8" s="38"/>
      <c r="B8" s="39"/>
      <c r="C8" s="39"/>
      <c r="D8" s="39"/>
      <c r="E8" s="39"/>
      <c r="F8" s="39"/>
      <c r="G8" s="60">
        <v>2017</v>
      </c>
      <c r="H8" s="39"/>
      <c r="I8" s="60">
        <v>2018</v>
      </c>
    </row>
    <row r="9" spans="1:9">
      <c r="A9" s="272" t="s">
        <v>602</v>
      </c>
      <c r="B9" s="39"/>
      <c r="C9" s="39"/>
      <c r="D9" s="39"/>
      <c r="E9" s="39"/>
      <c r="F9" s="39"/>
      <c r="G9" s="39"/>
      <c r="H9" s="39"/>
      <c r="I9" s="39"/>
    </row>
    <row r="10" spans="1:9">
      <c r="A10" s="166" t="s">
        <v>454</v>
      </c>
      <c r="B10" s="57"/>
      <c r="C10" s="57"/>
      <c r="D10" s="57"/>
      <c r="E10" s="57"/>
      <c r="F10" s="40"/>
      <c r="G10" s="266">
        <v>2.2800240000000001</v>
      </c>
      <c r="H10" s="40"/>
      <c r="I10" s="266">
        <v>2.2800240000000001</v>
      </c>
    </row>
    <row r="11" spans="1:9">
      <c r="A11" s="166"/>
      <c r="B11" s="57"/>
      <c r="C11" s="57"/>
      <c r="D11" s="57"/>
      <c r="E11" s="57"/>
      <c r="F11" s="40"/>
      <c r="G11" s="266"/>
      <c r="H11" s="40"/>
      <c r="I11" s="266"/>
    </row>
    <row r="12" spans="1:9" ht="13.5" thickBot="1">
      <c r="A12" s="166" t="s">
        <v>459</v>
      </c>
      <c r="B12" s="57"/>
      <c r="C12" s="57"/>
      <c r="D12" s="57"/>
      <c r="E12" s="57"/>
      <c r="F12" s="40"/>
      <c r="G12" s="80">
        <f>G10/(1+0.2)</f>
        <v>1.90002</v>
      </c>
      <c r="H12" s="40"/>
      <c r="I12" s="80">
        <f>I10/(1+0.2)</f>
        <v>1.90002</v>
      </c>
    </row>
    <row r="13" spans="1:9" ht="13.5" thickTop="1">
      <c r="A13" s="166"/>
      <c r="B13" s="57"/>
      <c r="C13" s="57"/>
      <c r="D13" s="57"/>
      <c r="E13" s="57"/>
      <c r="F13" s="40"/>
      <c r="G13" s="266"/>
      <c r="H13" s="40"/>
      <c r="I13" s="266"/>
    </row>
    <row r="14" spans="1:9">
      <c r="A14" s="166" t="s">
        <v>456</v>
      </c>
      <c r="B14" s="57"/>
      <c r="C14" s="57"/>
      <c r="D14" s="57"/>
      <c r="E14" s="57"/>
      <c r="F14" s="40"/>
      <c r="G14" s="267">
        <v>22</v>
      </c>
      <c r="H14" s="270"/>
      <c r="I14" s="267">
        <v>22</v>
      </c>
    </row>
    <row r="15" spans="1:9">
      <c r="A15" s="166"/>
      <c r="B15" s="57"/>
      <c r="C15" s="57"/>
      <c r="D15" s="57"/>
      <c r="E15" s="57"/>
      <c r="F15" s="40"/>
      <c r="G15" s="266"/>
      <c r="H15" s="40"/>
      <c r="I15" s="266"/>
    </row>
    <row r="16" spans="1:9">
      <c r="A16" s="166" t="s">
        <v>457</v>
      </c>
      <c r="B16" s="57"/>
      <c r="C16" s="57"/>
      <c r="D16" s="57"/>
      <c r="E16" s="57"/>
      <c r="F16" s="40"/>
      <c r="G16" s="266">
        <f>G12*G14</f>
        <v>41.800440000000002</v>
      </c>
      <c r="H16" s="40"/>
      <c r="I16" s="266">
        <f>I12*I14</f>
        <v>41.800440000000002</v>
      </c>
    </row>
    <row r="17" spans="1:9">
      <c r="A17" s="166"/>
      <c r="B17" s="57"/>
      <c r="C17" s="57"/>
      <c r="D17" s="57"/>
      <c r="E17" s="57"/>
      <c r="F17" s="40"/>
      <c r="G17" s="266"/>
      <c r="H17" s="40"/>
      <c r="I17" s="266"/>
    </row>
    <row r="18" spans="1:9">
      <c r="A18" s="166" t="s">
        <v>525</v>
      </c>
      <c r="B18" s="57"/>
      <c r="C18" s="57"/>
      <c r="D18" s="57"/>
      <c r="E18" s="57"/>
      <c r="F18" s="40"/>
      <c r="G18" s="267">
        <v>35</v>
      </c>
      <c r="H18" s="271"/>
      <c r="I18" s="267">
        <v>35</v>
      </c>
    </row>
    <row r="19" spans="1:9">
      <c r="A19" s="166"/>
      <c r="B19" s="57"/>
      <c r="C19" s="57"/>
      <c r="D19" s="57"/>
      <c r="E19" s="57"/>
      <c r="F19" s="40"/>
      <c r="G19" s="266"/>
      <c r="H19" s="40"/>
      <c r="I19" s="266"/>
    </row>
    <row r="20" spans="1:9" ht="13.5" thickBot="1">
      <c r="A20" s="166" t="s">
        <v>458</v>
      </c>
      <c r="B20" s="57"/>
      <c r="C20" s="57"/>
      <c r="D20" s="57"/>
      <c r="E20" s="57"/>
      <c r="F20" s="40"/>
      <c r="G20" s="230">
        <f>G16/G18</f>
        <v>1.1942982857142859</v>
      </c>
      <c r="H20" s="40"/>
      <c r="I20" s="230">
        <f>I16/I18</f>
        <v>1.1942982857142859</v>
      </c>
    </row>
    <row r="21" spans="1:9" ht="13.5" thickTop="1">
      <c r="A21" s="166"/>
      <c r="B21" s="57"/>
      <c r="C21" s="57"/>
      <c r="D21" s="57"/>
      <c r="E21" s="57"/>
      <c r="F21" s="40"/>
      <c r="G21" s="266"/>
      <c r="H21" s="40"/>
      <c r="I21" s="266"/>
    </row>
    <row r="22" spans="1:9">
      <c r="A22" s="152" t="s">
        <v>460</v>
      </c>
      <c r="B22" s="41"/>
      <c r="C22" s="41"/>
      <c r="D22" s="41"/>
      <c r="E22" s="41"/>
      <c r="F22" s="41"/>
      <c r="G22" s="50">
        <f>G20-G12</f>
        <v>-0.70572171428571417</v>
      </c>
      <c r="H22" s="41"/>
      <c r="I22" s="50">
        <f>I20-I12</f>
        <v>-0.70572171428571417</v>
      </c>
    </row>
    <row r="23" spans="1:9">
      <c r="A23" s="29"/>
      <c r="B23" s="42"/>
      <c r="C23" s="42"/>
      <c r="D23" s="42"/>
      <c r="E23" s="42"/>
      <c r="F23" s="42"/>
      <c r="G23" s="42"/>
      <c r="H23" s="42"/>
      <c r="I23" s="42"/>
    </row>
    <row r="24" spans="1:9">
      <c r="A24" s="152" t="s">
        <v>438</v>
      </c>
      <c r="B24" s="41"/>
      <c r="C24" s="41"/>
      <c r="D24" s="41"/>
      <c r="E24" s="41"/>
      <c r="F24" s="41"/>
      <c r="G24" s="268">
        <v>0.95059499999999997</v>
      </c>
      <c r="H24" s="41"/>
      <c r="I24" s="268">
        <v>0.95128400000000002</v>
      </c>
    </row>
    <row r="25" spans="1:9">
      <c r="A25" s="29"/>
      <c r="B25" s="42"/>
      <c r="C25" s="42"/>
      <c r="D25" s="42"/>
      <c r="E25" s="42"/>
      <c r="F25" s="42"/>
      <c r="G25" s="42"/>
      <c r="H25" s="42"/>
      <c r="I25" s="42"/>
    </row>
    <row r="26" spans="1:9" ht="13.5" thickBot="1">
      <c r="A26" s="152" t="s">
        <v>461</v>
      </c>
      <c r="B26" s="42"/>
      <c r="C26" s="42"/>
      <c r="D26" s="42"/>
      <c r="E26" s="42"/>
      <c r="F26" s="42"/>
      <c r="G26" s="263">
        <f>G22*G24</f>
        <v>-0.67085553299142842</v>
      </c>
      <c r="H26" s="42"/>
      <c r="I26" s="263">
        <f>I22*I24</f>
        <v>-0.67134177525257133</v>
      </c>
    </row>
    <row r="27" spans="1:9" ht="13.5" thickTop="1">
      <c r="A27" s="152"/>
      <c r="B27" s="42"/>
      <c r="C27" s="42"/>
      <c r="D27" s="42"/>
      <c r="E27" s="42"/>
      <c r="F27" s="42"/>
      <c r="G27" s="46"/>
      <c r="H27" s="42"/>
      <c r="I27" s="46"/>
    </row>
    <row r="28" spans="1:9">
      <c r="A28" s="152"/>
      <c r="B28" s="42"/>
      <c r="C28" s="42"/>
      <c r="D28" s="42"/>
      <c r="E28" s="42"/>
      <c r="F28" s="42"/>
      <c r="G28" s="46"/>
      <c r="H28" s="42"/>
      <c r="I28" s="46"/>
    </row>
    <row r="29" spans="1:9">
      <c r="A29" s="272" t="s">
        <v>462</v>
      </c>
      <c r="B29" s="39"/>
      <c r="C29" s="39"/>
      <c r="D29" s="39"/>
      <c r="E29" s="39"/>
      <c r="F29" s="39"/>
      <c r="G29" s="39"/>
      <c r="H29" s="39"/>
      <c r="I29" s="39"/>
    </row>
    <row r="30" spans="1:9">
      <c r="A30" s="166" t="s">
        <v>454</v>
      </c>
      <c r="B30" s="57"/>
      <c r="C30" s="57"/>
      <c r="D30" s="57"/>
      <c r="E30" s="57"/>
      <c r="F30" s="40"/>
      <c r="G30" s="266">
        <v>0.93951600000000002</v>
      </c>
      <c r="H30" s="40"/>
      <c r="I30" s="266">
        <v>0.93951600000000002</v>
      </c>
    </row>
    <row r="31" spans="1:9">
      <c r="A31" s="166"/>
      <c r="B31" s="57"/>
      <c r="C31" s="57"/>
      <c r="D31" s="57"/>
      <c r="E31" s="57"/>
      <c r="F31" s="40"/>
      <c r="G31" s="266"/>
      <c r="H31" s="40"/>
      <c r="I31" s="266"/>
    </row>
    <row r="32" spans="1:9" ht="13.5" thickBot="1">
      <c r="A32" s="166" t="s">
        <v>459</v>
      </c>
      <c r="B32" s="57"/>
      <c r="C32" s="57"/>
      <c r="D32" s="57"/>
      <c r="E32" s="57"/>
      <c r="F32" s="40"/>
      <c r="G32" s="80">
        <f>G30/(1+0.2)</f>
        <v>0.78293000000000001</v>
      </c>
      <c r="H32" s="40"/>
      <c r="I32" s="80">
        <f>I30/(1+0.2)</f>
        <v>0.78293000000000001</v>
      </c>
    </row>
    <row r="33" spans="1:9" ht="13.5" thickTop="1">
      <c r="A33" s="166"/>
      <c r="B33" s="57"/>
      <c r="C33" s="57"/>
      <c r="D33" s="57"/>
      <c r="E33" s="57"/>
      <c r="F33" s="40"/>
      <c r="G33" s="266"/>
      <c r="H33" s="40"/>
      <c r="I33" s="266"/>
    </row>
    <row r="34" spans="1:9">
      <c r="A34" s="166" t="s">
        <v>456</v>
      </c>
      <c r="B34" s="57"/>
      <c r="C34" s="57"/>
      <c r="D34" s="57"/>
      <c r="E34" s="57"/>
      <c r="F34" s="40"/>
      <c r="G34" s="267">
        <v>22</v>
      </c>
      <c r="H34" s="270"/>
      <c r="I34" s="267">
        <v>22</v>
      </c>
    </row>
    <row r="35" spans="1:9">
      <c r="A35" s="166"/>
      <c r="B35" s="57"/>
      <c r="C35" s="57"/>
      <c r="D35" s="57"/>
      <c r="E35" s="57"/>
      <c r="F35" s="40"/>
      <c r="G35" s="266"/>
      <c r="H35" s="40"/>
      <c r="I35" s="266"/>
    </row>
    <row r="36" spans="1:9">
      <c r="A36" s="166" t="s">
        <v>457</v>
      </c>
      <c r="B36" s="57"/>
      <c r="C36" s="57"/>
      <c r="D36" s="57"/>
      <c r="E36" s="57"/>
      <c r="F36" s="40"/>
      <c r="G36" s="266">
        <f>G32*G34</f>
        <v>17.224460000000001</v>
      </c>
      <c r="H36" s="40"/>
      <c r="I36" s="266">
        <f>I32*I34</f>
        <v>17.224460000000001</v>
      </c>
    </row>
    <row r="37" spans="1:9">
      <c r="A37" s="166"/>
      <c r="B37" s="57"/>
      <c r="C37" s="57"/>
      <c r="D37" s="57"/>
      <c r="E37" s="57"/>
      <c r="F37" s="40"/>
      <c r="G37" s="266"/>
      <c r="H37" s="40"/>
      <c r="I37" s="266"/>
    </row>
    <row r="38" spans="1:9">
      <c r="A38" s="166" t="s">
        <v>526</v>
      </c>
      <c r="B38" s="57"/>
      <c r="C38" s="57"/>
      <c r="D38" s="57"/>
      <c r="E38" s="57"/>
      <c r="F38" s="40"/>
      <c r="G38" s="267">
        <v>36</v>
      </c>
      <c r="H38" s="271"/>
      <c r="I38" s="267">
        <v>36</v>
      </c>
    </row>
    <row r="39" spans="1:9">
      <c r="A39" s="166"/>
      <c r="B39" s="57"/>
      <c r="C39" s="57"/>
      <c r="D39" s="57"/>
      <c r="E39" s="57"/>
      <c r="F39" s="40"/>
      <c r="G39" s="266"/>
      <c r="H39" s="40"/>
      <c r="I39" s="266"/>
    </row>
    <row r="40" spans="1:9" ht="13.5" thickBot="1">
      <c r="A40" s="166" t="s">
        <v>458</v>
      </c>
      <c r="B40" s="57"/>
      <c r="C40" s="57"/>
      <c r="D40" s="57"/>
      <c r="E40" s="57"/>
      <c r="F40" s="40"/>
      <c r="G40" s="230">
        <f>G36/G38</f>
        <v>0.47845722222222226</v>
      </c>
      <c r="H40" s="40"/>
      <c r="I40" s="230">
        <f>I36/I38</f>
        <v>0.47845722222222226</v>
      </c>
    </row>
    <row r="41" spans="1:9" ht="13.5" thickTop="1">
      <c r="A41" s="166"/>
      <c r="B41" s="57"/>
      <c r="C41" s="57"/>
      <c r="D41" s="57"/>
      <c r="E41" s="57"/>
      <c r="F41" s="40"/>
      <c r="G41" s="266"/>
      <c r="H41" s="40"/>
      <c r="I41" s="266"/>
    </row>
    <row r="42" spans="1:9">
      <c r="A42" s="152" t="s">
        <v>460</v>
      </c>
      <c r="B42" s="41"/>
      <c r="C42" s="41"/>
      <c r="D42" s="41"/>
      <c r="E42" s="41"/>
      <c r="F42" s="41"/>
      <c r="G42" s="50">
        <f>G40-G32</f>
        <v>-0.30447277777777776</v>
      </c>
      <c r="H42" s="41"/>
      <c r="I42" s="50">
        <f>I40-I32</f>
        <v>-0.30447277777777776</v>
      </c>
    </row>
    <row r="43" spans="1:9">
      <c r="A43" s="29"/>
      <c r="B43" s="42"/>
      <c r="C43" s="42"/>
      <c r="D43" s="42"/>
      <c r="E43" s="42"/>
      <c r="F43" s="42"/>
      <c r="G43" s="42"/>
      <c r="H43" s="42"/>
      <c r="I43" s="42"/>
    </row>
    <row r="44" spans="1:9">
      <c r="A44" s="152" t="s">
        <v>438</v>
      </c>
      <c r="B44" s="41"/>
      <c r="C44" s="41"/>
      <c r="D44" s="41"/>
      <c r="E44" s="41"/>
      <c r="F44" s="41"/>
      <c r="G44" s="268">
        <v>0.95059499999999997</v>
      </c>
      <c r="H44" s="41"/>
      <c r="I44" s="268">
        <v>0.95128400000000002</v>
      </c>
    </row>
    <row r="45" spans="1:9">
      <c r="A45" s="29"/>
      <c r="B45" s="42"/>
      <c r="C45" s="42"/>
      <c r="D45" s="42"/>
      <c r="E45" s="42"/>
      <c r="F45" s="42"/>
      <c r="G45" s="42"/>
      <c r="H45" s="42"/>
      <c r="I45" s="42"/>
    </row>
    <row r="46" spans="1:9" ht="13.5" thickBot="1">
      <c r="A46" s="152" t="s">
        <v>461</v>
      </c>
      <c r="B46" s="42"/>
      <c r="C46" s="42"/>
      <c r="D46" s="42"/>
      <c r="E46" s="42"/>
      <c r="F46" s="42"/>
      <c r="G46" s="263">
        <f>G42*G44</f>
        <v>-0.28943030019166666</v>
      </c>
      <c r="H46" s="42"/>
      <c r="I46" s="263">
        <f>I42*I44</f>
        <v>-0.28964008193555552</v>
      </c>
    </row>
    <row r="47" spans="1:9" ht="13.5" thickTop="1">
      <c r="A47" s="152"/>
      <c r="B47" s="42"/>
      <c r="C47" s="42"/>
      <c r="D47" s="42"/>
      <c r="E47" s="42"/>
      <c r="F47" s="42"/>
      <c r="G47" s="46"/>
      <c r="H47" s="42"/>
      <c r="I47" s="46"/>
    </row>
    <row r="48" spans="1:9" ht="13.5" thickBot="1">
      <c r="A48" s="152" t="s">
        <v>465</v>
      </c>
      <c r="B48" s="42"/>
      <c r="C48" s="42"/>
      <c r="D48" s="42"/>
      <c r="E48" s="42"/>
      <c r="F48" s="42"/>
      <c r="G48" s="263">
        <f>G26+G46</f>
        <v>-0.96028583318309502</v>
      </c>
      <c r="H48" s="42"/>
      <c r="I48" s="263">
        <f>I26+I46</f>
        <v>-0.96098185718812679</v>
      </c>
    </row>
    <row r="49" spans="1:14" ht="13.5" thickTop="1">
      <c r="B49" s="26"/>
      <c r="C49" s="26"/>
      <c r="D49" s="26"/>
      <c r="E49" s="26"/>
      <c r="F49" s="26"/>
      <c r="G49" s="26"/>
      <c r="H49" s="26"/>
      <c r="I49" s="26"/>
    </row>
    <row r="50" spans="1:14">
      <c r="B50" s="26"/>
      <c r="C50" s="26"/>
      <c r="D50" s="26"/>
      <c r="E50" s="26"/>
      <c r="F50" s="26"/>
      <c r="G50" s="26"/>
      <c r="H50" s="26"/>
      <c r="I50" s="26"/>
    </row>
    <row r="51" spans="1:14">
      <c r="A51" s="53" t="s">
        <v>585</v>
      </c>
      <c r="B51" s="26"/>
      <c r="C51" s="26"/>
      <c r="D51" s="26"/>
      <c r="E51" s="26"/>
      <c r="F51" s="26"/>
      <c r="G51" s="26"/>
      <c r="H51" s="26"/>
      <c r="I51" s="26"/>
    </row>
    <row r="52" spans="1:14">
      <c r="A52" s="166" t="s">
        <v>379</v>
      </c>
      <c r="B52" s="39"/>
      <c r="C52" s="39"/>
      <c r="D52" s="39"/>
      <c r="E52" s="39"/>
      <c r="F52" s="39"/>
      <c r="G52" s="264">
        <f>(-G26+-G46)/2</f>
        <v>0.48014291659154751</v>
      </c>
      <c r="H52" s="39"/>
      <c r="I52" s="264">
        <f>(-G26-G46)+((-I26+-I46)/2)</f>
        <v>1.4407767617771583</v>
      </c>
      <c r="J52" s="39"/>
      <c r="K52" s="93"/>
      <c r="L52" s="40"/>
      <c r="M52" s="93"/>
      <c r="N52" s="26"/>
    </row>
    <row r="53" spans="1:14">
      <c r="A53" s="29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26"/>
    </row>
    <row r="54" spans="1:14">
      <c r="A54" s="41" t="s">
        <v>55</v>
      </c>
      <c r="B54" s="41"/>
      <c r="C54" s="41"/>
      <c r="D54" s="41"/>
      <c r="E54" s="41"/>
      <c r="F54" s="41"/>
      <c r="G54" s="51">
        <f>'Exh. LK-28'!J19</f>
        <v>9.8804316192411479E-2</v>
      </c>
      <c r="H54" s="41"/>
      <c r="I54" s="51">
        <f>'Exh. LK-29'!J19</f>
        <v>9.9784915778226832E-2</v>
      </c>
      <c r="J54" s="41"/>
      <c r="K54" s="48"/>
      <c r="L54" s="41"/>
      <c r="M54" s="48"/>
      <c r="N54" s="26"/>
    </row>
    <row r="55" spans="1:14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26"/>
    </row>
    <row r="56" spans="1:14" ht="13.5" thickBot="1">
      <c r="A56" s="167" t="s">
        <v>377</v>
      </c>
      <c r="B56" s="167"/>
      <c r="C56" s="167"/>
      <c r="D56" s="167"/>
      <c r="E56" s="167"/>
      <c r="F56" s="167"/>
      <c r="G56" s="265">
        <f>G52*G54</f>
        <v>4.744019254845791E-2</v>
      </c>
      <c r="H56" s="236"/>
      <c r="I56" s="265">
        <f>I52*I54</f>
        <v>0.14376778782916014</v>
      </c>
      <c r="J56" s="167"/>
      <c r="K56" s="44"/>
      <c r="L56" s="41"/>
      <c r="M56" s="44"/>
      <c r="N56" s="26"/>
    </row>
    <row r="57" spans="1:14" ht="13.5" thickTop="1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44"/>
      <c r="L57" s="41"/>
      <c r="M57" s="44"/>
      <c r="N57" s="26"/>
    </row>
    <row r="58" spans="1:14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44"/>
      <c r="L58" s="41"/>
      <c r="M58" s="44"/>
    </row>
    <row r="59" spans="1:14">
      <c r="A59" s="158" t="s">
        <v>59</v>
      </c>
      <c r="E59" s="191">
        <f>'ADIT Changes - Cap Struct'!C24</f>
        <v>0.38574999999999998</v>
      </c>
      <c r="G59" s="196">
        <f>G56*-E59</f>
        <v>-1.8300054275567638E-2</v>
      </c>
      <c r="I59" s="196">
        <f>I56*-E59</f>
        <v>-5.5458424155098524E-2</v>
      </c>
    </row>
    <row r="61" spans="1:14" ht="13.5" thickBot="1">
      <c r="A61" s="158" t="s">
        <v>447</v>
      </c>
      <c r="G61" s="209">
        <f>G26+G56+G59</f>
        <v>-0.64171539471853822</v>
      </c>
      <c r="H61" s="204"/>
      <c r="I61" s="209">
        <f>I26+I56+I59</f>
        <v>-0.58303241157850971</v>
      </c>
      <c r="J61" s="204"/>
    </row>
    <row r="62" spans="1:14" ht="13.5" thickTop="1">
      <c r="G62" s="204"/>
      <c r="H62" s="204"/>
      <c r="I62" s="204"/>
      <c r="J62" s="204"/>
    </row>
  </sheetData>
  <mergeCells count="5">
    <mergeCell ref="A1:I1"/>
    <mergeCell ref="A2:I2"/>
    <mergeCell ref="A3:I3"/>
    <mergeCell ref="A4:I4"/>
    <mergeCell ref="A5:I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Layout" zoomScaleNormal="100" workbookViewId="0">
      <selection activeCell="G9" sqref="G9"/>
    </sheetView>
  </sheetViews>
  <sheetFormatPr defaultRowHeight="12.75"/>
  <cols>
    <col min="1" max="1" width="8.85546875" customWidth="1"/>
    <col min="2" max="5" width="11.7109375" customWidth="1"/>
    <col min="6" max="6" width="5" customWidth="1"/>
    <col min="7" max="7" width="3.140625" customWidth="1"/>
    <col min="8" max="8" width="12.28515625" customWidth="1"/>
    <col min="9" max="9" width="3.140625" customWidth="1"/>
    <col min="10" max="10" width="12.28515625" customWidth="1"/>
  </cols>
  <sheetData>
    <row r="1" spans="1:10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>
      <c r="A2" s="375" t="s">
        <v>434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</row>
    <row r="4" spans="1:10">
      <c r="A4" s="375" t="s">
        <v>66</v>
      </c>
      <c r="B4" s="374"/>
      <c r="C4" s="374"/>
      <c r="D4" s="374"/>
      <c r="E4" s="374"/>
      <c r="F4" s="374"/>
      <c r="G4" s="374"/>
      <c r="H4" s="374"/>
      <c r="I4" s="374"/>
      <c r="J4" s="374"/>
    </row>
    <row r="5" spans="1:10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</row>
    <row r="6" spans="1:10">
      <c r="A6" s="163"/>
      <c r="B6" s="163"/>
      <c r="C6" s="163"/>
      <c r="D6" s="163"/>
      <c r="E6" s="163"/>
      <c r="F6" s="163"/>
      <c r="G6" s="163"/>
      <c r="H6" s="163"/>
      <c r="I6" s="163"/>
      <c r="J6" s="163"/>
    </row>
    <row r="7" spans="1:10">
      <c r="A7" s="166" t="s">
        <v>440</v>
      </c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38"/>
      <c r="B8" s="39"/>
      <c r="C8" s="39"/>
      <c r="D8" s="39"/>
      <c r="E8" s="39"/>
      <c r="F8" s="39"/>
      <c r="G8" s="39"/>
      <c r="H8" s="60">
        <v>2017</v>
      </c>
      <c r="I8" s="39"/>
      <c r="J8" s="60">
        <v>2018</v>
      </c>
    </row>
    <row r="9" spans="1:10">
      <c r="A9" s="38"/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166" t="s">
        <v>435</v>
      </c>
      <c r="B10" s="57"/>
      <c r="C10" s="57"/>
      <c r="D10" s="57"/>
      <c r="E10" s="57"/>
      <c r="F10" s="57"/>
      <c r="G10" s="40"/>
      <c r="H10" s="266">
        <v>158.43468300000001</v>
      </c>
      <c r="I10" s="40"/>
      <c r="J10" s="266">
        <v>158.43468300000001</v>
      </c>
    </row>
    <row r="11" spans="1:10">
      <c r="A11" s="166"/>
      <c r="B11" s="57"/>
      <c r="C11" s="57"/>
      <c r="D11" s="57"/>
      <c r="E11" s="57"/>
      <c r="F11" s="57"/>
      <c r="G11" s="40"/>
      <c r="H11" s="266"/>
      <c r="I11" s="40"/>
      <c r="J11" s="266"/>
    </row>
    <row r="12" spans="1:10">
      <c r="A12" s="166" t="s">
        <v>437</v>
      </c>
      <c r="B12" s="57"/>
      <c r="C12" s="57"/>
      <c r="D12" s="57"/>
      <c r="E12" s="57"/>
      <c r="F12" s="57"/>
      <c r="G12" s="40"/>
      <c r="H12" s="267">
        <v>4</v>
      </c>
      <c r="I12" s="40"/>
      <c r="J12" s="267">
        <v>4</v>
      </c>
    </row>
    <row r="13" spans="1:10">
      <c r="A13" s="12"/>
      <c r="B13" s="41"/>
      <c r="C13" s="41"/>
      <c r="D13" s="41"/>
      <c r="E13" s="41"/>
      <c r="F13" s="41"/>
      <c r="G13" s="41"/>
      <c r="H13" s="59"/>
      <c r="I13" s="41"/>
      <c r="J13" s="59"/>
    </row>
    <row r="14" spans="1:10">
      <c r="A14" s="166" t="s">
        <v>436</v>
      </c>
      <c r="B14" s="41"/>
      <c r="C14" s="41"/>
      <c r="D14" s="41"/>
      <c r="E14" s="41"/>
      <c r="F14" s="41"/>
      <c r="G14" s="41"/>
      <c r="H14" s="59">
        <f>H10/H12</f>
        <v>39.608670750000002</v>
      </c>
      <c r="I14" s="41"/>
      <c r="J14" s="59">
        <f>J10/J12</f>
        <v>39.608670750000002</v>
      </c>
    </row>
    <row r="15" spans="1:10">
      <c r="A15" s="38"/>
      <c r="B15" s="41"/>
      <c r="C15" s="41"/>
      <c r="D15" s="41"/>
      <c r="E15" s="41"/>
      <c r="F15" s="41"/>
      <c r="G15" s="41"/>
      <c r="H15" s="59"/>
      <c r="I15" s="41"/>
      <c r="J15" s="59"/>
    </row>
    <row r="16" spans="1:10">
      <c r="A16" s="152" t="s">
        <v>438</v>
      </c>
      <c r="B16" s="41"/>
      <c r="C16" s="41"/>
      <c r="D16" s="41"/>
      <c r="E16" s="41"/>
      <c r="F16" s="41"/>
      <c r="G16" s="41"/>
      <c r="H16" s="268">
        <v>0.94858299999999995</v>
      </c>
      <c r="I16" s="41"/>
      <c r="J16" s="268">
        <v>0.94932000000000005</v>
      </c>
    </row>
    <row r="17" spans="1:10">
      <c r="A17" s="29"/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13.5" thickBot="1">
      <c r="A18" s="152" t="s">
        <v>439</v>
      </c>
      <c r="B18" s="42"/>
      <c r="C18" s="42"/>
      <c r="D18" s="42"/>
      <c r="E18" s="42"/>
      <c r="F18" s="42"/>
      <c r="G18" s="42"/>
      <c r="H18" s="263">
        <f>H14*H16</f>
        <v>37.572111726047247</v>
      </c>
      <c r="I18" s="42"/>
      <c r="J18" s="263">
        <f>J14*J16</f>
        <v>37.601303316390002</v>
      </c>
    </row>
    <row r="19" spans="1:10" ht="13.5" thickTop="1">
      <c r="A19" s="29"/>
      <c r="B19" s="42"/>
      <c r="C19" s="42"/>
      <c r="D19" s="42"/>
      <c r="E19" s="42"/>
      <c r="F19" s="42"/>
      <c r="G19" s="42"/>
      <c r="H19" s="42"/>
      <c r="I19" s="42"/>
      <c r="J19" s="42"/>
    </row>
    <row r="20" spans="1:10">
      <c r="A20" s="29"/>
      <c r="B20" s="42"/>
      <c r="C20" s="42"/>
      <c r="D20" s="42"/>
      <c r="E20" s="42"/>
      <c r="F20" s="42"/>
      <c r="G20" s="42"/>
      <c r="H20" s="42"/>
      <c r="I20" s="42"/>
      <c r="J20" s="42"/>
    </row>
    <row r="21" spans="1:10">
      <c r="A21" s="29"/>
      <c r="B21" s="42"/>
      <c r="C21" s="42"/>
      <c r="D21" s="42"/>
      <c r="E21" s="42"/>
      <c r="F21" s="42"/>
      <c r="G21" s="42"/>
      <c r="H21" s="42"/>
      <c r="I21" s="42"/>
      <c r="J21" s="42"/>
    </row>
    <row r="22" spans="1:10">
      <c r="A22" s="166" t="s">
        <v>435</v>
      </c>
      <c r="B22" s="57"/>
      <c r="C22" s="57"/>
      <c r="D22" s="57"/>
      <c r="E22" s="57"/>
      <c r="F22" s="57"/>
      <c r="G22" s="40"/>
      <c r="H22" s="266">
        <v>158.43468300000001</v>
      </c>
      <c r="I22" s="40"/>
      <c r="J22" s="266">
        <v>158.43468300000001</v>
      </c>
    </row>
    <row r="23" spans="1:10">
      <c r="A23" s="166"/>
      <c r="B23" s="57"/>
      <c r="C23" s="57"/>
      <c r="D23" s="57"/>
      <c r="E23" s="57"/>
      <c r="F23" s="57"/>
      <c r="G23" s="40"/>
      <c r="H23" s="266"/>
      <c r="I23" s="40"/>
      <c r="J23" s="266"/>
    </row>
    <row r="24" spans="1:10">
      <c r="A24" s="166" t="s">
        <v>441</v>
      </c>
      <c r="B24" s="57"/>
      <c r="C24" s="57"/>
      <c r="D24" s="57"/>
      <c r="E24" s="57"/>
      <c r="F24" s="57"/>
      <c r="G24" s="40"/>
      <c r="H24" s="267">
        <v>10</v>
      </c>
      <c r="I24" s="40"/>
      <c r="J24" s="267">
        <v>10</v>
      </c>
    </row>
    <row r="25" spans="1:10">
      <c r="A25" s="12"/>
      <c r="B25" s="41"/>
      <c r="C25" s="41"/>
      <c r="D25" s="41"/>
      <c r="E25" s="41"/>
      <c r="F25" s="41"/>
      <c r="G25" s="41"/>
      <c r="H25" s="59"/>
      <c r="I25" s="41"/>
      <c r="J25" s="59"/>
    </row>
    <row r="26" spans="1:10">
      <c r="A26" s="166" t="s">
        <v>442</v>
      </c>
      <c r="B26" s="41"/>
      <c r="C26" s="41"/>
      <c r="D26" s="41"/>
      <c r="E26" s="41"/>
      <c r="F26" s="41"/>
      <c r="G26" s="41"/>
      <c r="H26" s="59">
        <f>H22/H24</f>
        <v>15.843468300000001</v>
      </c>
      <c r="I26" s="41"/>
      <c r="J26" s="59">
        <f>J22/J24</f>
        <v>15.843468300000001</v>
      </c>
    </row>
    <row r="27" spans="1:10">
      <c r="A27" s="38"/>
      <c r="B27" s="41"/>
      <c r="C27" s="41"/>
      <c r="D27" s="41"/>
      <c r="E27" s="41"/>
      <c r="F27" s="41"/>
      <c r="G27" s="41"/>
      <c r="H27" s="59"/>
      <c r="I27" s="41"/>
      <c r="J27" s="59"/>
    </row>
    <row r="28" spans="1:10">
      <c r="A28" s="152" t="s">
        <v>438</v>
      </c>
      <c r="B28" s="41"/>
      <c r="C28" s="41"/>
      <c r="D28" s="41"/>
      <c r="E28" s="41"/>
      <c r="F28" s="41"/>
      <c r="G28" s="41"/>
      <c r="H28" s="268">
        <v>0.94858299999999995</v>
      </c>
      <c r="I28" s="41"/>
      <c r="J28" s="268">
        <v>0.94932000000000005</v>
      </c>
    </row>
    <row r="29" spans="1:10">
      <c r="A29" s="29"/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thickBot="1">
      <c r="A30" s="152" t="s">
        <v>439</v>
      </c>
      <c r="B30" s="42"/>
      <c r="C30" s="42"/>
      <c r="D30" s="42"/>
      <c r="E30" s="42"/>
      <c r="F30" s="42"/>
      <c r="G30" s="42"/>
      <c r="H30" s="263">
        <f>H26*H28</f>
        <v>15.0288446904189</v>
      </c>
      <c r="I30" s="42"/>
      <c r="J30" s="263">
        <f>J26*J28</f>
        <v>15.040521326556002</v>
      </c>
    </row>
    <row r="31" spans="1:10" ht="13.5" thickTop="1">
      <c r="A31" s="29"/>
      <c r="B31" s="42"/>
      <c r="C31" s="42"/>
      <c r="D31" s="42"/>
      <c r="E31" s="42"/>
      <c r="F31" s="42"/>
      <c r="G31" s="42"/>
      <c r="H31" s="42"/>
      <c r="I31" s="42"/>
      <c r="J31" s="42"/>
    </row>
    <row r="32" spans="1:10">
      <c r="B32" s="26"/>
      <c r="C32" s="26"/>
      <c r="D32" s="26"/>
      <c r="E32" s="26"/>
      <c r="F32" s="26"/>
      <c r="G32" s="26"/>
      <c r="H32" s="26"/>
      <c r="I32" s="26"/>
      <c r="J32" s="26"/>
    </row>
    <row r="33" spans="1:15" ht="13.5" thickBot="1">
      <c r="A33" s="158" t="s">
        <v>443</v>
      </c>
      <c r="B33" s="26"/>
      <c r="C33" s="26"/>
      <c r="D33" s="26"/>
      <c r="E33" s="26"/>
      <c r="F33" s="26"/>
      <c r="G33" s="26"/>
      <c r="H33" s="209">
        <f>H30-H18</f>
        <v>-22.543267035628347</v>
      </c>
      <c r="I33" s="26"/>
      <c r="J33" s="209">
        <f>J30-J18</f>
        <v>-22.560781989833998</v>
      </c>
    </row>
    <row r="34" spans="1:15" ht="13.5" thickTop="1">
      <c r="B34" s="26"/>
      <c r="C34" s="26"/>
      <c r="D34" s="26"/>
      <c r="E34" s="26"/>
      <c r="F34" s="26"/>
      <c r="G34" s="26"/>
      <c r="H34" s="26"/>
      <c r="I34" s="26"/>
      <c r="J34" s="26"/>
    </row>
    <row r="35" spans="1:15">
      <c r="B35" s="26"/>
      <c r="C35" s="26"/>
      <c r="D35" s="26"/>
      <c r="E35" s="26"/>
      <c r="F35" s="26"/>
      <c r="G35" s="26"/>
      <c r="H35" s="26"/>
      <c r="I35" s="26"/>
      <c r="J35" s="26"/>
    </row>
    <row r="36" spans="1:15">
      <c r="A36" s="166" t="s">
        <v>379</v>
      </c>
      <c r="B36" s="39"/>
      <c r="C36" s="39"/>
      <c r="D36" s="39"/>
      <c r="E36" s="39"/>
      <c r="F36" s="39"/>
      <c r="G36" s="39"/>
      <c r="H36" s="264">
        <f>-H33/2</f>
        <v>11.271633517814173</v>
      </c>
      <c r="I36" s="39"/>
      <c r="J36" s="229">
        <f>-H33+-(J33/2)</f>
        <v>33.823658030545346</v>
      </c>
      <c r="K36" s="39"/>
      <c r="L36" s="93"/>
      <c r="M36" s="40"/>
      <c r="N36" s="93"/>
      <c r="O36" s="26"/>
    </row>
    <row r="37" spans="1:15">
      <c r="A37" s="29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6"/>
    </row>
    <row r="38" spans="1:15">
      <c r="A38" s="41" t="s">
        <v>55</v>
      </c>
      <c r="B38" s="41"/>
      <c r="C38" s="41"/>
      <c r="D38" s="41"/>
      <c r="E38" s="41"/>
      <c r="F38" s="41"/>
      <c r="G38" s="41"/>
      <c r="H38" s="51">
        <f>'Exh. LK-28'!J19</f>
        <v>9.8804316192411479E-2</v>
      </c>
      <c r="I38" s="41"/>
      <c r="J38" s="51">
        <f>'Exh. LK-29'!J19</f>
        <v>9.9784915778226832E-2</v>
      </c>
      <c r="K38" s="41"/>
      <c r="L38" s="48"/>
      <c r="M38" s="41"/>
      <c r="N38" s="48"/>
      <c r="O38" s="26"/>
    </row>
    <row r="39" spans="1: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/>
    </row>
    <row r="40" spans="1:15" ht="13.5" thickBot="1">
      <c r="A40" s="167" t="s">
        <v>377</v>
      </c>
      <c r="B40" s="167"/>
      <c r="C40" s="167"/>
      <c r="D40" s="167"/>
      <c r="E40" s="167"/>
      <c r="F40" s="167"/>
      <c r="G40" s="167"/>
      <c r="H40" s="265">
        <f>H36*H38</f>
        <v>1.1136860420990948</v>
      </c>
      <c r="I40" s="236"/>
      <c r="J40" s="265">
        <f>J36*J38</f>
        <v>3.3750908678895128</v>
      </c>
      <c r="K40" s="167"/>
      <c r="L40" s="44"/>
      <c r="M40" s="41"/>
      <c r="N40" s="44"/>
      <c r="O40" s="26"/>
    </row>
    <row r="41" spans="1:15" ht="13.5" thickTop="1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44"/>
      <c r="M41" s="41"/>
      <c r="N41" s="44"/>
      <c r="O41" s="26"/>
    </row>
    <row r="42" spans="1:15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44"/>
      <c r="M42" s="41"/>
      <c r="N42" s="44"/>
    </row>
    <row r="43" spans="1:15">
      <c r="A43" s="158" t="s">
        <v>59</v>
      </c>
      <c r="E43">
        <f>'ADIT Changes - Cap Struct'!C24</f>
        <v>0.38574999999999998</v>
      </c>
      <c r="H43" s="196">
        <f>H40*-E43</f>
        <v>-0.42960439073972578</v>
      </c>
      <c r="J43" s="196">
        <f>J40*-E43</f>
        <v>-1.3019413022883795</v>
      </c>
    </row>
    <row r="45" spans="1:15" ht="13.5" thickBot="1">
      <c r="A45" s="158" t="s">
        <v>447</v>
      </c>
      <c r="H45" s="209">
        <f>H33+H40+H43</f>
        <v>-21.859185384268979</v>
      </c>
      <c r="I45" s="204"/>
      <c r="J45" s="209">
        <f>J33+J40+J43</f>
        <v>-20.487632424232867</v>
      </c>
      <c r="K45" s="204"/>
    </row>
    <row r="46" spans="1:15" ht="13.5" thickTop="1">
      <c r="H46" s="204"/>
      <c r="I46" s="204"/>
      <c r="J46" s="204"/>
      <c r="K46" s="204"/>
    </row>
  </sheetData>
  <mergeCells count="5">
    <mergeCell ref="A1:J1"/>
    <mergeCell ref="A2:J2"/>
    <mergeCell ref="A3:J3"/>
    <mergeCell ref="A4:J4"/>
    <mergeCell ref="A5:J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zoomScaleNormal="100" workbookViewId="0">
      <selection activeCell="G9" sqref="G9"/>
    </sheetView>
  </sheetViews>
  <sheetFormatPr defaultRowHeight="12.75"/>
  <cols>
    <col min="1" max="1" width="2.7109375" customWidth="1"/>
    <col min="2" max="2" width="76.42578125" customWidth="1"/>
    <col min="3" max="3" width="3.28515625" customWidth="1"/>
    <col min="4" max="4" width="13.42578125" customWidth="1"/>
    <col min="6" max="6" width="18.7109375" bestFit="1" customWidth="1"/>
  </cols>
  <sheetData>
    <row r="1" spans="1:6">
      <c r="A1" s="34" t="s">
        <v>33</v>
      </c>
      <c r="B1" s="9"/>
      <c r="C1" s="9"/>
      <c r="D1" s="9"/>
    </row>
    <row r="2" spans="1:6">
      <c r="A2" s="34" t="s">
        <v>50</v>
      </c>
      <c r="B2" s="9"/>
      <c r="C2" s="9"/>
      <c r="D2" s="9"/>
    </row>
    <row r="3" spans="1:6">
      <c r="A3" s="34" t="s">
        <v>65</v>
      </c>
      <c r="B3" s="9"/>
      <c r="C3" s="9"/>
      <c r="D3" s="9"/>
    </row>
    <row r="4" spans="1:6">
      <c r="A4" s="34" t="s">
        <v>66</v>
      </c>
      <c r="B4" s="9"/>
      <c r="C4" s="9"/>
      <c r="D4" s="9"/>
    </row>
    <row r="5" spans="1:6">
      <c r="A5" s="377" t="s">
        <v>19</v>
      </c>
      <c r="B5" s="377"/>
      <c r="C5" s="377"/>
      <c r="D5" s="377"/>
    </row>
    <row r="6" spans="1:6">
      <c r="A6" s="1"/>
      <c r="B6" s="1"/>
      <c r="C6" s="1"/>
      <c r="D6" s="1"/>
    </row>
    <row r="7" spans="1:6">
      <c r="D7" s="11" t="s">
        <v>15</v>
      </c>
    </row>
    <row r="8" spans="1:6">
      <c r="D8" s="10"/>
    </row>
    <row r="9" spans="1:6">
      <c r="A9" s="4" t="s">
        <v>29</v>
      </c>
      <c r="B9" s="4"/>
      <c r="C9" s="4"/>
      <c r="D9" s="14">
        <v>32536.116000000002</v>
      </c>
    </row>
    <row r="10" spans="1:6">
      <c r="A10" s="4"/>
      <c r="B10" s="4"/>
      <c r="C10" s="4"/>
      <c r="D10" s="15"/>
    </row>
    <row r="11" spans="1:6">
      <c r="A11" s="4" t="s">
        <v>16</v>
      </c>
      <c r="B11" s="4"/>
      <c r="C11" s="4"/>
      <c r="D11" s="16"/>
    </row>
    <row r="12" spans="1:6">
      <c r="A12" s="4"/>
      <c r="B12" s="152" t="s">
        <v>569</v>
      </c>
      <c r="C12" s="12"/>
      <c r="D12" s="285">
        <f>'NFIP in Rate Base'!D14</f>
        <v>-406.62130342</v>
      </c>
      <c r="E12" s="29"/>
    </row>
    <row r="13" spans="1:6">
      <c r="A13" s="4"/>
      <c r="B13" s="152" t="s">
        <v>445</v>
      </c>
      <c r="C13" s="12"/>
      <c r="D13" s="13">
        <f>--97.249</f>
        <v>97.248999999999995</v>
      </c>
      <c r="F13" s="158" t="s">
        <v>421</v>
      </c>
    </row>
    <row r="14" spans="1:6">
      <c r="A14" s="4"/>
      <c r="B14" s="152" t="s">
        <v>466</v>
      </c>
      <c r="C14" s="12"/>
      <c r="D14" s="28">
        <f>'Exh. LK-17'!H25+'Exh. LK-21'!G52</f>
        <v>2.666277411789046</v>
      </c>
      <c r="E14" s="29"/>
    </row>
    <row r="15" spans="1:6">
      <c r="A15" s="4"/>
      <c r="B15" s="152" t="s">
        <v>444</v>
      </c>
      <c r="C15" s="12"/>
      <c r="D15" s="28">
        <f>'Exh. LK-23'!H36</f>
        <v>11.271633517814173</v>
      </c>
      <c r="E15" s="29"/>
    </row>
    <row r="16" spans="1:6">
      <c r="A16" s="4"/>
      <c r="B16" s="158" t="s">
        <v>387</v>
      </c>
      <c r="C16" s="12"/>
      <c r="D16" s="28">
        <f>'Exh. LK-6'!H21</f>
        <v>2.4549145250000013</v>
      </c>
      <c r="E16" s="29"/>
    </row>
    <row r="17" spans="1:12">
      <c r="A17" s="4"/>
      <c r="B17" s="158" t="s">
        <v>417</v>
      </c>
      <c r="C17" s="12"/>
      <c r="D17" s="28">
        <f>'Exh. LK-8'!H28</f>
        <v>20.796584241250009</v>
      </c>
      <c r="E17" s="29"/>
    </row>
    <row r="18" spans="1:12">
      <c r="A18" s="4"/>
      <c r="B18" s="152" t="s">
        <v>324</v>
      </c>
      <c r="C18" s="12"/>
      <c r="D18" s="28">
        <v>-228.51</v>
      </c>
      <c r="E18" s="29"/>
      <c r="F18" t="s">
        <v>386</v>
      </c>
    </row>
    <row r="19" spans="1:12">
      <c r="A19" s="4"/>
      <c r="B19" s="12" t="s">
        <v>51</v>
      </c>
      <c r="C19" s="12"/>
      <c r="D19" s="28">
        <v>-4.3090000000000002</v>
      </c>
      <c r="E19" s="29"/>
      <c r="F19" t="s">
        <v>357</v>
      </c>
    </row>
    <row r="20" spans="1:12">
      <c r="A20" s="4"/>
      <c r="B20" s="152" t="s">
        <v>364</v>
      </c>
      <c r="C20" s="12"/>
      <c r="D20" s="28">
        <f>ROUND((-1333.623+1329.976744)*0.967454,3)</f>
        <v>-3.528</v>
      </c>
      <c r="E20" s="29"/>
      <c r="F20" s="158" t="s">
        <v>358</v>
      </c>
      <c r="I20" s="220"/>
      <c r="J20" s="220"/>
      <c r="L20" s="221" t="s">
        <v>359</v>
      </c>
    </row>
    <row r="21" spans="1:12">
      <c r="A21" s="4"/>
      <c r="B21" s="157" t="s">
        <v>408</v>
      </c>
      <c r="C21" s="4"/>
      <c r="D21" s="13">
        <f>-('Exh. LK-15'!L28)/1000</f>
        <v>-2.1655526377820626</v>
      </c>
      <c r="E21" s="29"/>
    </row>
    <row r="22" spans="1:12">
      <c r="A22" s="4"/>
      <c r="B22" s="4"/>
      <c r="C22" s="4"/>
      <c r="D22" s="13"/>
    </row>
    <row r="23" spans="1:12">
      <c r="A23" s="4" t="s">
        <v>17</v>
      </c>
      <c r="B23" s="4"/>
      <c r="C23" s="4"/>
      <c r="D23" s="22">
        <f>SUM(D11:D21)</f>
        <v>-510.69544636192887</v>
      </c>
    </row>
    <row r="24" spans="1:12">
      <c r="A24" s="4"/>
      <c r="B24" s="4"/>
      <c r="C24" s="4"/>
      <c r="D24" s="15"/>
    </row>
    <row r="25" spans="1:12" ht="13.5" thickBot="1">
      <c r="A25" s="4" t="s">
        <v>18</v>
      </c>
      <c r="B25" s="4"/>
      <c r="C25" s="4"/>
      <c r="D25" s="17">
        <f>D9+D23</f>
        <v>32025.420553638072</v>
      </c>
    </row>
    <row r="26" spans="1:12" ht="13.5" thickTop="1">
      <c r="A26" s="4"/>
      <c r="B26" s="4"/>
      <c r="C26" s="4"/>
      <c r="D26" s="4"/>
    </row>
    <row r="27" spans="1:12">
      <c r="B27" s="4"/>
      <c r="C27" s="4"/>
      <c r="D27" s="4"/>
    </row>
  </sheetData>
  <mergeCells count="1">
    <mergeCell ref="A5:D5"/>
  </mergeCells>
  <phoneticPr fontId="29" type="noConversion"/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zoomScaleNormal="100" workbookViewId="0">
      <selection activeCell="G9" sqref="G9"/>
    </sheetView>
  </sheetViews>
  <sheetFormatPr defaultRowHeight="12.75"/>
  <cols>
    <col min="1" max="1" width="2.7109375" customWidth="1"/>
    <col min="2" max="2" width="71.7109375" customWidth="1"/>
    <col min="3" max="3" width="6.28515625" customWidth="1"/>
    <col min="4" max="4" width="13.42578125" customWidth="1"/>
  </cols>
  <sheetData>
    <row r="1" spans="1:6">
      <c r="A1" s="34" t="s">
        <v>33</v>
      </c>
      <c r="B1" s="9"/>
      <c r="C1" s="9"/>
      <c r="D1" s="9"/>
    </row>
    <row r="2" spans="1:6">
      <c r="A2" s="34" t="s">
        <v>50</v>
      </c>
      <c r="B2" s="9"/>
      <c r="C2" s="9"/>
      <c r="D2" s="9"/>
    </row>
    <row r="3" spans="1:6">
      <c r="A3" s="34" t="s">
        <v>65</v>
      </c>
      <c r="B3" s="9"/>
      <c r="C3" s="9"/>
      <c r="D3" s="9"/>
    </row>
    <row r="4" spans="1:6">
      <c r="A4" s="34" t="s">
        <v>67</v>
      </c>
      <c r="B4" s="9"/>
      <c r="C4" s="9"/>
      <c r="D4" s="9"/>
    </row>
    <row r="5" spans="1:6">
      <c r="A5" s="377" t="s">
        <v>19</v>
      </c>
      <c r="B5" s="377"/>
      <c r="C5" s="377"/>
      <c r="D5" s="377"/>
    </row>
    <row r="6" spans="1:6">
      <c r="A6" s="1"/>
      <c r="B6" s="1"/>
      <c r="C6" s="1"/>
      <c r="D6" s="1"/>
    </row>
    <row r="7" spans="1:6">
      <c r="D7" s="11" t="s">
        <v>15</v>
      </c>
    </row>
    <row r="8" spans="1:6">
      <c r="D8" s="10"/>
    </row>
    <row r="9" spans="1:6">
      <c r="A9" s="4" t="s">
        <v>29</v>
      </c>
      <c r="B9" s="4"/>
      <c r="C9" s="4"/>
      <c r="D9" s="14">
        <v>33870.896999999997</v>
      </c>
    </row>
    <row r="10" spans="1:6">
      <c r="A10" s="4"/>
      <c r="B10" s="4"/>
      <c r="C10" s="4"/>
      <c r="D10" s="15"/>
    </row>
    <row r="11" spans="1:6">
      <c r="A11" s="4" t="s">
        <v>16</v>
      </c>
      <c r="B11" s="4"/>
      <c r="C11" s="4"/>
      <c r="D11" s="16"/>
    </row>
    <row r="12" spans="1:6">
      <c r="A12" s="4"/>
      <c r="B12" s="152" t="s">
        <v>569</v>
      </c>
      <c r="C12" s="12"/>
      <c r="D12" s="28">
        <f>'NFIP in Rate Base'!F14</f>
        <v>-412.13741399999998</v>
      </c>
    </row>
    <row r="13" spans="1:6">
      <c r="A13" s="4"/>
      <c r="B13" s="152" t="s">
        <v>445</v>
      </c>
      <c r="C13" s="12"/>
      <c r="D13" s="28">
        <f>--294.242</f>
        <v>294.24200000000002</v>
      </c>
      <c r="F13" s="158" t="s">
        <v>421</v>
      </c>
    </row>
    <row r="14" spans="1:6">
      <c r="A14" s="4"/>
      <c r="B14" s="152" t="s">
        <v>446</v>
      </c>
      <c r="C14" s="12"/>
      <c r="D14" s="28">
        <f>'Exh. LK-17'!J25+'Exh. LK-21'!I52</f>
        <v>8.0007647777608213</v>
      </c>
    </row>
    <row r="15" spans="1:6">
      <c r="A15" s="4"/>
      <c r="B15" s="152" t="s">
        <v>444</v>
      </c>
      <c r="C15" s="12"/>
      <c r="D15" s="28">
        <f>'Exh. LK-23'!J36</f>
        <v>33.823658030545346</v>
      </c>
    </row>
    <row r="16" spans="1:6">
      <c r="A16" s="4"/>
      <c r="B16" s="158" t="s">
        <v>387</v>
      </c>
      <c r="C16" s="12"/>
      <c r="D16" s="28">
        <f>'Exh. LK-6'!J21</f>
        <v>7.0799917499999996</v>
      </c>
    </row>
    <row r="17" spans="1:12">
      <c r="A17" s="4"/>
      <c r="B17" s="158" t="s">
        <v>417</v>
      </c>
      <c r="C17" s="12"/>
      <c r="D17" s="28">
        <f>'Exh. LK-8'!J28</f>
        <v>62.394013924249982</v>
      </c>
    </row>
    <row r="18" spans="1:12">
      <c r="A18" s="4"/>
      <c r="B18" s="152" t="s">
        <v>324</v>
      </c>
      <c r="C18" s="12"/>
      <c r="D18" s="28">
        <v>-229.79499999999999</v>
      </c>
      <c r="F18" t="s">
        <v>386</v>
      </c>
    </row>
    <row r="19" spans="1:12">
      <c r="A19" s="4"/>
      <c r="B19" s="12" t="s">
        <v>51</v>
      </c>
      <c r="C19" s="12"/>
      <c r="D19" s="28">
        <f>-3.078</f>
        <v>-3.0779999999999998</v>
      </c>
      <c r="F19" t="s">
        <v>357</v>
      </c>
    </row>
    <row r="20" spans="1:12">
      <c r="A20" s="4"/>
      <c r="B20" s="152" t="s">
        <v>364</v>
      </c>
      <c r="C20" s="12"/>
      <c r="D20" s="28">
        <f>(-1399.731+1390.84863)*0.968204</f>
        <v>-8.5999461634800358</v>
      </c>
      <c r="F20" s="158" t="s">
        <v>360</v>
      </c>
      <c r="I20" s="220"/>
      <c r="J20" s="220"/>
      <c r="L20" s="221" t="s">
        <v>361</v>
      </c>
    </row>
    <row r="21" spans="1:12">
      <c r="A21" s="4"/>
      <c r="B21" s="29"/>
      <c r="C21" s="12"/>
      <c r="D21" s="50"/>
    </row>
    <row r="22" spans="1:12">
      <c r="A22" s="4"/>
      <c r="B22" s="12"/>
      <c r="C22" s="12"/>
      <c r="D22" s="28"/>
    </row>
    <row r="23" spans="1:12">
      <c r="A23" s="4" t="s">
        <v>17</v>
      </c>
      <c r="B23" s="12"/>
      <c r="C23" s="12"/>
      <c r="D23" s="50">
        <f>SUM(D11:D21)</f>
        <v>-248.06993168092384</v>
      </c>
    </row>
    <row r="24" spans="1:12">
      <c r="A24" s="4"/>
      <c r="B24" s="4"/>
      <c r="C24" s="4"/>
      <c r="D24" s="15"/>
    </row>
    <row r="25" spans="1:12" ht="13.5" thickBot="1">
      <c r="A25" s="4" t="s">
        <v>18</v>
      </c>
      <c r="B25" s="4"/>
      <c r="C25" s="4"/>
      <c r="D25" s="17">
        <f>D9+D23</f>
        <v>33622.827068319071</v>
      </c>
    </row>
    <row r="26" spans="1:12" ht="13.5" thickTop="1">
      <c r="A26" s="4"/>
      <c r="B26" s="4"/>
      <c r="C26" s="4"/>
      <c r="D26" s="4"/>
    </row>
    <row r="27" spans="1:12">
      <c r="B27" s="4"/>
      <c r="C27" s="4"/>
      <c r="D27" s="4"/>
    </row>
  </sheetData>
  <mergeCells count="1">
    <mergeCell ref="A5:D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abSelected="1" view="pageLayout" zoomScaleNormal="100" workbookViewId="0">
      <selection activeCell="G9" sqref="G9"/>
    </sheetView>
  </sheetViews>
  <sheetFormatPr defaultRowHeight="12.75"/>
  <cols>
    <col min="1" max="1" width="5.85546875" customWidth="1"/>
    <col min="2" max="2" width="19.28515625" customWidth="1"/>
    <col min="3" max="3" width="3.140625" customWidth="1"/>
    <col min="4" max="4" width="16.7109375" customWidth="1"/>
    <col min="5" max="5" width="11.28515625" customWidth="1"/>
    <col min="6" max="6" width="16.42578125" customWidth="1"/>
    <col min="7" max="9" width="12.7109375" customWidth="1"/>
    <col min="10" max="10" width="15" customWidth="1"/>
    <col min="11" max="11" width="17.28515625" customWidth="1"/>
    <col min="12" max="12" width="11.85546875" customWidth="1"/>
    <col min="13" max="13" width="11.28515625" bestFit="1" customWidth="1"/>
    <col min="14" max="14" width="9.85546875" bestFit="1" customWidth="1"/>
    <col min="16" max="16" width="10.85546875" bestFit="1" customWidth="1"/>
    <col min="17" max="17" width="12" customWidth="1"/>
    <col min="18" max="18" width="9.5703125" bestFit="1" customWidth="1"/>
  </cols>
  <sheetData>
    <row r="1" spans="1:19">
      <c r="A1" s="377" t="s">
        <v>10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9">
      <c r="A2" s="376" t="s">
        <v>65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9">
      <c r="A3" s="376" t="s">
        <v>66</v>
      </c>
      <c r="B3" s="377"/>
      <c r="C3" s="377"/>
      <c r="D3" s="377"/>
      <c r="E3" s="377"/>
      <c r="F3" s="377"/>
      <c r="G3" s="377"/>
      <c r="H3" s="377"/>
      <c r="I3" s="377"/>
      <c r="J3" s="377"/>
    </row>
    <row r="4" spans="1:19">
      <c r="A4" s="377" t="s">
        <v>19</v>
      </c>
      <c r="B4" s="377"/>
      <c r="C4" s="377"/>
      <c r="D4" s="377"/>
      <c r="E4" s="377"/>
      <c r="F4" s="377"/>
      <c r="G4" s="377"/>
      <c r="H4" s="377"/>
      <c r="I4" s="377"/>
      <c r="J4" s="377"/>
    </row>
    <row r="6" spans="1:19" ht="4.5" customHeight="1"/>
    <row r="7" spans="1:19">
      <c r="A7" s="2" t="s">
        <v>11</v>
      </c>
    </row>
    <row r="8" spans="1:19">
      <c r="A8" s="3"/>
      <c r="B8" s="4"/>
      <c r="C8" s="4"/>
      <c r="D8" s="4"/>
      <c r="E8" s="4"/>
      <c r="F8" s="5" t="s">
        <v>20</v>
      </c>
      <c r="G8" s="4"/>
      <c r="H8" s="5"/>
      <c r="I8" s="4"/>
      <c r="J8" s="30" t="s">
        <v>37</v>
      </c>
      <c r="K8" s="4"/>
      <c r="L8" s="4"/>
      <c r="M8" s="4"/>
    </row>
    <row r="9" spans="1:19">
      <c r="A9" s="3"/>
      <c r="B9" s="4"/>
      <c r="C9" s="4"/>
      <c r="D9" s="4"/>
      <c r="E9" s="4"/>
      <c r="F9" s="19" t="s">
        <v>25</v>
      </c>
      <c r="G9" s="19" t="s">
        <v>0</v>
      </c>
      <c r="H9" s="19" t="s">
        <v>5</v>
      </c>
      <c r="I9" s="19" t="s">
        <v>1</v>
      </c>
      <c r="J9" s="19" t="s">
        <v>2</v>
      </c>
      <c r="K9" s="4"/>
      <c r="L9" s="155"/>
      <c r="M9" s="12"/>
      <c r="N9" s="29"/>
      <c r="O9" s="29"/>
      <c r="P9" s="152"/>
      <c r="Q9" s="29"/>
      <c r="R9" s="29"/>
      <c r="S9" s="29"/>
    </row>
    <row r="10" spans="1:19">
      <c r="A10" s="3"/>
      <c r="B10" s="4"/>
      <c r="C10" s="4"/>
      <c r="D10" s="4"/>
      <c r="E10" s="4"/>
      <c r="F10" s="20" t="s">
        <v>0</v>
      </c>
      <c r="G10" s="20" t="s">
        <v>3</v>
      </c>
      <c r="H10" s="20" t="s">
        <v>24</v>
      </c>
      <c r="I10" s="20" t="s">
        <v>4</v>
      </c>
      <c r="J10" s="21" t="s">
        <v>5</v>
      </c>
      <c r="K10" s="4"/>
      <c r="L10" s="12"/>
      <c r="M10" s="12"/>
      <c r="N10" s="29"/>
      <c r="O10" s="29"/>
      <c r="P10" s="29"/>
      <c r="Q10" s="29"/>
      <c r="R10" s="29"/>
      <c r="S10" s="29"/>
    </row>
    <row r="11" spans="1:19">
      <c r="B11" s="4"/>
      <c r="C11" s="4"/>
      <c r="D11" s="4"/>
      <c r="E11" s="4"/>
      <c r="F11" s="4"/>
      <c r="G11" s="4"/>
      <c r="H11" s="4"/>
      <c r="I11" s="4"/>
      <c r="J11" s="4"/>
      <c r="K11" s="4"/>
      <c r="L11" s="152"/>
      <c r="M11" s="70"/>
      <c r="N11" s="153"/>
      <c r="O11" s="29"/>
      <c r="P11" s="154"/>
      <c r="Q11" s="151"/>
      <c r="R11" s="153"/>
      <c r="S11" s="29"/>
    </row>
    <row r="12" spans="1:19">
      <c r="B12" s="4" t="s">
        <v>7</v>
      </c>
      <c r="C12" s="4"/>
      <c r="D12" s="4"/>
      <c r="E12" s="4"/>
      <c r="F12" s="28">
        <v>9358.4169999999995</v>
      </c>
      <c r="G12" s="47">
        <f>F12/F19</f>
        <v>0.28763165486082154</v>
      </c>
      <c r="H12" s="47">
        <v>4.6199999999999998E-2</v>
      </c>
      <c r="I12" s="47">
        <f t="shared" ref="I12:I17" si="0">G12*H12</f>
        <v>1.3288582454569955E-2</v>
      </c>
      <c r="J12" s="33">
        <f>+I12*1/(1-(0.00072+0.00065))</f>
        <v>1.3306812788089638E-2</v>
      </c>
      <c r="K12" s="12" t="s">
        <v>45</v>
      </c>
      <c r="L12" s="12"/>
      <c r="M12" s="12"/>
      <c r="N12" s="29"/>
      <c r="O12" s="29"/>
      <c r="P12" s="29"/>
      <c r="Q12" s="151"/>
      <c r="R12" s="29"/>
      <c r="S12" s="29"/>
    </row>
    <row r="13" spans="1:19">
      <c r="B13" s="4" t="s">
        <v>21</v>
      </c>
      <c r="C13" s="4"/>
      <c r="D13" s="4"/>
      <c r="E13" s="4"/>
      <c r="F13" s="28">
        <v>407.32832999999999</v>
      </c>
      <c r="G13" s="47">
        <f>F13/F19</f>
        <v>1.2519267054416876E-2</v>
      </c>
      <c r="H13" s="47">
        <v>2.0500000000000001E-2</v>
      </c>
      <c r="I13" s="47">
        <f t="shared" si="0"/>
        <v>2.5664497461554597E-4</v>
      </c>
      <c r="J13" s="33">
        <f t="shared" ref="J13:J16" si="1">+I13*1/(1-(0.00072+0.00065))</f>
        <v>2.5699706058855226E-4</v>
      </c>
      <c r="K13" s="12" t="s">
        <v>45</v>
      </c>
      <c r="L13" s="155"/>
      <c r="M13" s="12"/>
      <c r="N13" s="29"/>
      <c r="O13" s="29"/>
      <c r="P13" s="152"/>
      <c r="Q13" s="151"/>
      <c r="R13" s="29"/>
      <c r="S13" s="29"/>
    </row>
    <row r="14" spans="1:19">
      <c r="B14" s="4" t="s">
        <v>6</v>
      </c>
      <c r="C14" s="4"/>
      <c r="D14" s="4"/>
      <c r="E14" s="4"/>
      <c r="F14" s="28">
        <v>612.93920000000003</v>
      </c>
      <c r="G14" s="47">
        <f>F14/F19</f>
        <v>1.8838732707152084E-2</v>
      </c>
      <c r="H14" s="47">
        <v>1.8499999999999999E-2</v>
      </c>
      <c r="I14" s="47">
        <f t="shared" si="0"/>
        <v>3.4851655508231355E-4</v>
      </c>
      <c r="J14" s="33">
        <f t="shared" si="1"/>
        <v>3.4899467779088704E-4</v>
      </c>
      <c r="K14" s="12" t="s">
        <v>45</v>
      </c>
      <c r="L14" s="12"/>
      <c r="M14" s="12"/>
      <c r="N14" s="29"/>
      <c r="O14" s="29"/>
      <c r="P14" s="29"/>
      <c r="Q14" s="151"/>
      <c r="R14" s="29"/>
      <c r="S14" s="29"/>
    </row>
    <row r="15" spans="1:19">
      <c r="B15" s="4" t="s">
        <v>22</v>
      </c>
      <c r="C15" s="4"/>
      <c r="D15" s="4"/>
      <c r="E15" s="4"/>
      <c r="F15" s="28">
        <v>7368.5824899999998</v>
      </c>
      <c r="G15" s="47">
        <f>F15/F19</f>
        <v>0.22647394057960582</v>
      </c>
      <c r="H15" s="47">
        <v>0</v>
      </c>
      <c r="I15" s="47">
        <f t="shared" si="0"/>
        <v>0</v>
      </c>
      <c r="J15" s="33">
        <f t="shared" si="1"/>
        <v>0</v>
      </c>
      <c r="K15" s="12" t="s">
        <v>45</v>
      </c>
      <c r="L15" s="152"/>
      <c r="M15" s="70"/>
      <c r="N15" s="153"/>
      <c r="O15" s="29"/>
      <c r="P15" s="154"/>
      <c r="Q15" s="151"/>
      <c r="R15" s="153"/>
      <c r="S15" s="29"/>
    </row>
    <row r="16" spans="1:19">
      <c r="B16" s="4" t="s">
        <v>23</v>
      </c>
      <c r="C16" s="4"/>
      <c r="D16" s="4"/>
      <c r="E16" s="4"/>
      <c r="F16" s="43">
        <v>106.27515</v>
      </c>
      <c r="G16" s="48">
        <f>F16/F19</f>
        <v>3.2663747795254302E-3</v>
      </c>
      <c r="H16" s="48">
        <v>8.8200000000000001E-2</v>
      </c>
      <c r="I16" s="49">
        <f t="shared" si="0"/>
        <v>2.8809425555414292E-4</v>
      </c>
      <c r="J16" s="33">
        <f t="shared" si="1"/>
        <v>2.8848948615016863E-4</v>
      </c>
      <c r="K16" s="12" t="s">
        <v>45</v>
      </c>
      <c r="L16" s="152"/>
      <c r="M16" s="70"/>
      <c r="N16" s="153"/>
      <c r="O16" s="29"/>
      <c r="P16" s="225"/>
      <c r="Q16" s="151"/>
      <c r="R16" s="153"/>
      <c r="S16" s="29"/>
    </row>
    <row r="17" spans="1:19">
      <c r="B17" s="4" t="s">
        <v>8</v>
      </c>
      <c r="C17" s="4"/>
      <c r="D17" s="4"/>
      <c r="E17" s="4"/>
      <c r="F17" s="50">
        <v>14682.57422</v>
      </c>
      <c r="G17" s="51">
        <f>F17/F19</f>
        <v>0.45127003001847815</v>
      </c>
      <c r="H17" s="51">
        <v>0.115</v>
      </c>
      <c r="I17" s="52">
        <f t="shared" si="0"/>
        <v>5.1896053452124988E-2</v>
      </c>
      <c r="J17" s="51">
        <f>+I17*1.63024</f>
        <v>8.4603022179792237E-2</v>
      </c>
      <c r="K17" s="12" t="s">
        <v>26</v>
      </c>
      <c r="L17" s="152"/>
      <c r="M17" s="70"/>
      <c r="N17" s="153"/>
      <c r="O17" s="29"/>
      <c r="P17" s="154"/>
      <c r="Q17" s="151"/>
      <c r="R17" s="153"/>
      <c r="S17" s="29"/>
    </row>
    <row r="18" spans="1:19">
      <c r="B18" s="4"/>
      <c r="C18" s="4"/>
      <c r="D18" s="4"/>
      <c r="E18" s="4"/>
      <c r="F18" s="18"/>
      <c r="G18" s="4"/>
      <c r="H18" s="6"/>
      <c r="I18" s="6"/>
      <c r="J18" s="6"/>
      <c r="K18" s="4"/>
      <c r="L18" s="12"/>
      <c r="M18" s="70"/>
      <c r="N18" s="29"/>
      <c r="O18" s="29"/>
      <c r="P18" s="29"/>
      <c r="Q18" s="151"/>
      <c r="R18" s="29"/>
      <c r="S18" s="29"/>
    </row>
    <row r="19" spans="1:19" ht="13.5" thickBot="1">
      <c r="B19" s="7" t="s">
        <v>9</v>
      </c>
      <c r="C19" s="7"/>
      <c r="D19" s="7"/>
      <c r="E19" s="4"/>
      <c r="F19" s="23">
        <f>SUM(F12:F17)</f>
        <v>32536.116390000003</v>
      </c>
      <c r="G19" s="24">
        <f>SUM(G12:G17)</f>
        <v>0.99999999999999978</v>
      </c>
      <c r="H19" s="24"/>
      <c r="I19" s="24">
        <f>SUM(I12:I17)</f>
        <v>6.6077891691946944E-2</v>
      </c>
      <c r="J19" s="24">
        <f>SUM(J12:J18)</f>
        <v>9.8804316192411479E-2</v>
      </c>
      <c r="K19" s="4"/>
      <c r="L19" s="12"/>
      <c r="M19" s="12"/>
      <c r="N19" s="29"/>
      <c r="O19" s="29"/>
      <c r="P19" s="29"/>
      <c r="Q19" s="29"/>
      <c r="R19" s="29"/>
      <c r="S19" s="29"/>
    </row>
    <row r="20" spans="1:19" ht="13.5" thickTop="1">
      <c r="B20" s="7"/>
      <c r="C20" s="7"/>
      <c r="D20" s="7"/>
      <c r="E20" s="4"/>
      <c r="F20" s="35"/>
      <c r="G20" s="36"/>
      <c r="H20" s="36"/>
      <c r="I20" s="36"/>
      <c r="J20" s="36"/>
      <c r="K20" s="4"/>
      <c r="L20" s="12"/>
      <c r="M20" s="12"/>
      <c r="N20" s="29"/>
      <c r="O20" s="29"/>
      <c r="P20" s="29"/>
      <c r="Q20" s="29"/>
      <c r="R20" s="29"/>
      <c r="S20" s="29"/>
    </row>
    <row r="21" spans="1:19">
      <c r="B21" s="7"/>
      <c r="C21" s="7"/>
      <c r="D21" s="7"/>
      <c r="E21" s="4"/>
      <c r="F21" s="35"/>
      <c r="G21" s="36"/>
      <c r="H21" s="36"/>
      <c r="I21" s="36"/>
      <c r="J21" s="36"/>
      <c r="K21" s="4"/>
      <c r="L21" s="12"/>
      <c r="M21" s="12"/>
      <c r="N21" s="29"/>
      <c r="O21" s="29"/>
      <c r="P21" s="29"/>
      <c r="Q21" s="151"/>
      <c r="R21" s="29"/>
      <c r="S21" s="29"/>
    </row>
    <row r="22" spans="1:19">
      <c r="A22" s="67" t="s">
        <v>362</v>
      </c>
      <c r="B22" s="29"/>
      <c r="C22" s="29"/>
      <c r="D22" s="29"/>
      <c r="E22" s="29"/>
      <c r="F22" s="29"/>
      <c r="G22" s="29"/>
      <c r="H22" s="29"/>
      <c r="I22" s="68"/>
      <c r="J22" s="68"/>
      <c r="K22" s="4"/>
      <c r="L22" s="12"/>
      <c r="M22" s="12"/>
      <c r="N22" s="29"/>
      <c r="O22" s="29"/>
      <c r="P22" s="29"/>
      <c r="Q22" s="151"/>
      <c r="R22" s="29"/>
      <c r="S22" s="29"/>
    </row>
    <row r="23" spans="1:19">
      <c r="A23" s="69"/>
      <c r="B23" s="12"/>
      <c r="C23" s="12"/>
      <c r="D23" s="39" t="s">
        <v>20</v>
      </c>
      <c r="E23" s="12"/>
      <c r="F23" s="39" t="s">
        <v>20</v>
      </c>
      <c r="G23" s="12"/>
      <c r="H23" s="39"/>
      <c r="I23" s="12"/>
      <c r="J23" s="62" t="s">
        <v>37</v>
      </c>
      <c r="K23" s="4"/>
      <c r="L23" s="12"/>
      <c r="M23" s="12"/>
      <c r="N23" s="29"/>
      <c r="O23" s="29"/>
      <c r="P23" s="29"/>
      <c r="Q23" s="151"/>
      <c r="R23" s="29"/>
      <c r="S23" s="29"/>
    </row>
    <row r="24" spans="1:19">
      <c r="A24" s="69"/>
      <c r="B24" s="12"/>
      <c r="C24" s="12"/>
      <c r="D24" s="39" t="s">
        <v>27</v>
      </c>
      <c r="E24" s="39" t="s">
        <v>20</v>
      </c>
      <c r="F24" s="40" t="s">
        <v>25</v>
      </c>
      <c r="G24" s="40" t="s">
        <v>0</v>
      </c>
      <c r="H24" s="40" t="s">
        <v>5</v>
      </c>
      <c r="I24" s="40" t="s">
        <v>1</v>
      </c>
      <c r="J24" s="40" t="s">
        <v>2</v>
      </c>
      <c r="K24" s="4"/>
      <c r="L24" s="12"/>
      <c r="M24" s="12"/>
      <c r="N24" s="29"/>
      <c r="O24" s="29"/>
      <c r="P24" s="29"/>
      <c r="Q24" s="151"/>
      <c r="R24" s="29"/>
      <c r="S24" s="29"/>
    </row>
    <row r="25" spans="1:19">
      <c r="A25" s="69"/>
      <c r="B25" s="12"/>
      <c r="C25" s="12"/>
      <c r="D25" s="60" t="s">
        <v>28</v>
      </c>
      <c r="E25" s="60" t="s">
        <v>28</v>
      </c>
      <c r="F25" s="60" t="s">
        <v>0</v>
      </c>
      <c r="G25" s="60" t="s">
        <v>3</v>
      </c>
      <c r="H25" s="60" t="s">
        <v>24</v>
      </c>
      <c r="I25" s="60" t="s">
        <v>4</v>
      </c>
      <c r="J25" s="63" t="s">
        <v>5</v>
      </c>
      <c r="K25" s="4"/>
      <c r="L25" s="12"/>
      <c r="M25" s="12"/>
      <c r="N25" s="29"/>
      <c r="O25" s="29"/>
      <c r="P25" s="29"/>
      <c r="Q25" s="151"/>
      <c r="R25" s="29"/>
      <c r="S25" s="29"/>
    </row>
    <row r="26" spans="1:19">
      <c r="A26" s="69"/>
      <c r="B26" s="12"/>
      <c r="C26" s="12"/>
      <c r="D26" s="12"/>
      <c r="E26" s="12"/>
      <c r="F26" s="12"/>
      <c r="G26" s="12"/>
      <c r="H26" s="12"/>
      <c r="I26" s="12"/>
      <c r="J26" s="12"/>
      <c r="K26" s="4"/>
      <c r="L26" s="12"/>
      <c r="M26" s="12"/>
      <c r="N26" s="29"/>
      <c r="O26" s="29"/>
      <c r="P26" s="29"/>
      <c r="Q26" s="151"/>
      <c r="R26" s="29"/>
      <c r="S26" s="29"/>
    </row>
    <row r="27" spans="1:19">
      <c r="A27" s="69"/>
      <c r="B27" s="12" t="s">
        <v>7</v>
      </c>
      <c r="C27" s="12"/>
      <c r="D27" s="70">
        <f t="shared" ref="D27:D32" si="2">F12</f>
        <v>9358.4169999999995</v>
      </c>
      <c r="E27" s="28"/>
      <c r="F27" s="28">
        <f t="shared" ref="F27:F32" si="3">D27+E27</f>
        <v>9358.4169999999995</v>
      </c>
      <c r="G27" s="47">
        <f>F27/F34</f>
        <v>0.28720056872187377</v>
      </c>
      <c r="H27" s="47">
        <f t="shared" ref="H27:H32" si="4">H12</f>
        <v>4.6199999999999998E-2</v>
      </c>
      <c r="I27" s="47">
        <f t="shared" ref="I27:I32" si="5">G27*H27</f>
        <v>1.3268666274950568E-2</v>
      </c>
      <c r="J27" s="33">
        <f t="shared" ref="J27:J31" si="6">+I27*1/(1-(0.00072+0.00065))</f>
        <v>1.3286869285872213E-2</v>
      </c>
      <c r="K27" s="4"/>
      <c r="L27" s="12"/>
      <c r="M27" s="12"/>
      <c r="N27" s="29"/>
      <c r="O27" s="29"/>
      <c r="P27" s="29"/>
      <c r="Q27" s="151"/>
      <c r="R27" s="29"/>
      <c r="S27" s="29"/>
    </row>
    <row r="28" spans="1:19">
      <c r="A28" s="69"/>
      <c r="B28" s="12" t="s">
        <v>21</v>
      </c>
      <c r="C28" s="12"/>
      <c r="D28" s="70">
        <f t="shared" si="2"/>
        <v>407.32832999999999</v>
      </c>
      <c r="E28" s="28"/>
      <c r="F28" s="28">
        <f t="shared" si="3"/>
        <v>407.32832999999999</v>
      </c>
      <c r="G28" s="47">
        <f>F28/F34</f>
        <v>1.2500503881428995E-2</v>
      </c>
      <c r="H28" s="47">
        <f t="shared" si="4"/>
        <v>2.0500000000000001E-2</v>
      </c>
      <c r="I28" s="47">
        <f t="shared" si="5"/>
        <v>2.562603295692944E-4</v>
      </c>
      <c r="J28" s="33">
        <f t="shared" si="6"/>
        <v>2.5661188785565663E-4</v>
      </c>
      <c r="K28" s="4"/>
      <c r="L28" s="12"/>
      <c r="M28" s="12"/>
      <c r="N28" s="29"/>
      <c r="O28" s="29"/>
      <c r="P28" s="29"/>
      <c r="Q28" s="151"/>
      <c r="R28" s="29"/>
      <c r="S28" s="29"/>
    </row>
    <row r="29" spans="1:19">
      <c r="A29" s="69"/>
      <c r="B29" s="12" t="s">
        <v>6</v>
      </c>
      <c r="C29" s="12"/>
      <c r="D29" s="70">
        <f t="shared" si="2"/>
        <v>612.93920000000003</v>
      </c>
      <c r="E29" s="28"/>
      <c r="F29" s="28">
        <f t="shared" si="3"/>
        <v>612.93920000000003</v>
      </c>
      <c r="G29" s="47">
        <f>F29/F34</f>
        <v>1.8810498274647341E-2</v>
      </c>
      <c r="H29" s="47">
        <f t="shared" si="4"/>
        <v>1.8499999999999999E-2</v>
      </c>
      <c r="I29" s="47">
        <f t="shared" si="5"/>
        <v>3.4799421808097582E-4</v>
      </c>
      <c r="J29" s="33">
        <f t="shared" si="6"/>
        <v>3.4847162420613821E-4</v>
      </c>
      <c r="K29" s="4"/>
      <c r="L29" s="12"/>
      <c r="M29" s="12"/>
      <c r="N29" s="29"/>
      <c r="O29" s="29"/>
      <c r="P29" s="29"/>
      <c r="Q29" s="151"/>
      <c r="R29" s="29"/>
      <c r="S29" s="29"/>
    </row>
    <row r="30" spans="1:19">
      <c r="A30" s="69"/>
      <c r="B30" s="12" t="s">
        <v>22</v>
      </c>
      <c r="C30" s="12"/>
      <c r="D30" s="70">
        <f t="shared" si="2"/>
        <v>7368.5824899999998</v>
      </c>
      <c r="E30" s="28">
        <f>'ADIT Changes - Cap Struct'!C26</f>
        <v>48.836493790175382</v>
      </c>
      <c r="F30" s="28">
        <f t="shared" si="3"/>
        <v>7417.4189837901749</v>
      </c>
      <c r="G30" s="47">
        <f>F30/F34</f>
        <v>0.22763325791028136</v>
      </c>
      <c r="H30" s="47">
        <f t="shared" si="4"/>
        <v>0</v>
      </c>
      <c r="I30" s="47">
        <f t="shared" si="5"/>
        <v>0</v>
      </c>
      <c r="J30" s="33">
        <f t="shared" si="6"/>
        <v>0</v>
      </c>
      <c r="K30" s="4"/>
      <c r="L30" s="152"/>
      <c r="M30" s="12"/>
      <c r="N30" s="29"/>
      <c r="O30" s="29"/>
      <c r="P30" s="29"/>
      <c r="Q30" s="151"/>
      <c r="R30" s="29"/>
      <c r="S30" s="29"/>
    </row>
    <row r="31" spans="1:19">
      <c r="A31" s="69"/>
      <c r="B31" s="12" t="s">
        <v>23</v>
      </c>
      <c r="C31" s="12"/>
      <c r="D31" s="70">
        <f t="shared" si="2"/>
        <v>106.27515</v>
      </c>
      <c r="E31" s="28"/>
      <c r="F31" s="28">
        <f t="shared" si="3"/>
        <v>106.27515</v>
      </c>
      <c r="G31" s="48">
        <f>F31/F34</f>
        <v>3.2614793208084708E-3</v>
      </c>
      <c r="H31" s="47">
        <f t="shared" si="4"/>
        <v>8.8200000000000001E-2</v>
      </c>
      <c r="I31" s="49">
        <f t="shared" si="5"/>
        <v>2.8766247609530711E-4</v>
      </c>
      <c r="J31" s="33">
        <f t="shared" si="6"/>
        <v>2.8805711434195559E-4</v>
      </c>
      <c r="K31" s="4"/>
      <c r="L31" s="12"/>
      <c r="M31" s="12"/>
      <c r="N31" s="29"/>
      <c r="O31" s="29"/>
      <c r="P31" s="29"/>
      <c r="Q31" s="151"/>
      <c r="R31" s="29"/>
      <c r="S31" s="29"/>
    </row>
    <row r="32" spans="1:19">
      <c r="A32" s="69"/>
      <c r="B32" s="12" t="s">
        <v>8</v>
      </c>
      <c r="C32" s="12"/>
      <c r="D32" s="71">
        <f t="shared" si="2"/>
        <v>14682.57422</v>
      </c>
      <c r="E32" s="50"/>
      <c r="F32" s="50">
        <f t="shared" si="3"/>
        <v>14682.57422</v>
      </c>
      <c r="G32" s="51">
        <f>F32/F34</f>
        <v>0.45059369189096005</v>
      </c>
      <c r="H32" s="47">
        <f t="shared" si="4"/>
        <v>0.115</v>
      </c>
      <c r="I32" s="52">
        <f t="shared" si="5"/>
        <v>5.1818274567460409E-2</v>
      </c>
      <c r="J32" s="51">
        <f>+I32*1.63024</f>
        <v>8.4476223930856659E-2</v>
      </c>
      <c r="K32" s="4"/>
      <c r="L32" s="12"/>
      <c r="M32" s="12"/>
      <c r="N32" s="29"/>
      <c r="O32" s="29"/>
      <c r="P32" s="29"/>
      <c r="Q32" s="151"/>
      <c r="R32" s="29"/>
      <c r="S32" s="29"/>
    </row>
    <row r="33" spans="1:19">
      <c r="A33" s="69"/>
      <c r="B33" s="12"/>
      <c r="C33" s="12"/>
      <c r="D33" s="12"/>
      <c r="E33" s="28"/>
      <c r="F33" s="72"/>
      <c r="G33" s="73"/>
      <c r="H33" s="74"/>
      <c r="I33" s="74"/>
      <c r="J33" s="74"/>
      <c r="K33" s="4"/>
      <c r="L33" s="12"/>
      <c r="M33" s="12"/>
      <c r="N33" s="29"/>
      <c r="O33" s="29"/>
      <c r="P33" s="29"/>
      <c r="Q33" s="151"/>
      <c r="R33" s="29"/>
      <c r="S33" s="29"/>
    </row>
    <row r="34" spans="1:19" ht="13.5" thickBot="1">
      <c r="A34" s="29"/>
      <c r="B34" s="75" t="s">
        <v>9</v>
      </c>
      <c r="C34" s="75"/>
      <c r="D34" s="76">
        <f>SUM(D27:D33)</f>
        <v>32536.116390000003</v>
      </c>
      <c r="E34" s="148">
        <f>SUM(E27:E33)</f>
        <v>48.836493790175382</v>
      </c>
      <c r="F34" s="77">
        <f>SUM(F27:F32)</f>
        <v>32584.952883790174</v>
      </c>
      <c r="G34" s="64">
        <f>SUM(G27:G32)</f>
        <v>1</v>
      </c>
      <c r="H34" s="64"/>
      <c r="I34" s="64">
        <f>SUM(I27:I32)</f>
        <v>6.5978857866156551E-2</v>
      </c>
      <c r="J34" s="64">
        <f>SUM(J27:J33)</f>
        <v>9.8656233843132629E-2</v>
      </c>
      <c r="K34" s="4"/>
      <c r="L34" s="12"/>
      <c r="M34" s="12"/>
      <c r="N34" s="29"/>
      <c r="O34" s="29"/>
      <c r="P34" s="29"/>
      <c r="Q34" s="151"/>
      <c r="R34" s="29"/>
      <c r="S34" s="29"/>
    </row>
    <row r="35" spans="1:19" ht="13.5" thickTop="1">
      <c r="A35" s="29"/>
      <c r="B35" s="75"/>
      <c r="C35" s="75"/>
      <c r="D35" s="75"/>
      <c r="E35" s="12"/>
      <c r="F35" s="12"/>
      <c r="G35" s="33"/>
      <c r="H35" s="33"/>
      <c r="I35" s="33"/>
      <c r="J35" s="33"/>
      <c r="K35" s="4"/>
      <c r="L35" s="12"/>
      <c r="M35" s="12"/>
      <c r="N35" s="29"/>
      <c r="O35" s="29"/>
      <c r="P35" s="29"/>
      <c r="Q35" s="151"/>
      <c r="R35" s="29"/>
      <c r="S35" s="29"/>
    </row>
    <row r="36" spans="1:19">
      <c r="A36" s="69"/>
      <c r="B36" s="38" t="s">
        <v>13</v>
      </c>
      <c r="C36" s="38"/>
      <c r="D36" s="38"/>
      <c r="E36" s="12"/>
      <c r="F36" s="12"/>
      <c r="G36" s="33"/>
      <c r="H36" s="33"/>
      <c r="I36" s="33"/>
      <c r="J36" s="33">
        <f>J34-J19</f>
        <v>-1.4808234927884967E-4</v>
      </c>
      <c r="K36" s="4"/>
      <c r="L36" s="12"/>
      <c r="M36" s="12"/>
      <c r="N36" s="29"/>
      <c r="O36" s="29"/>
      <c r="P36" s="29"/>
      <c r="Q36" s="151"/>
      <c r="R36" s="29"/>
      <c r="S36" s="29"/>
    </row>
    <row r="37" spans="1:19">
      <c r="A37" s="78"/>
      <c r="B37" s="29" t="s">
        <v>12</v>
      </c>
      <c r="C37" s="29"/>
      <c r="D37" s="29"/>
      <c r="E37" s="29"/>
      <c r="F37" s="29"/>
      <c r="G37" s="29"/>
      <c r="H37" s="29"/>
      <c r="I37" s="68"/>
      <c r="J37" s="65">
        <f>'Exh. LK-27 - Page 1'!$D$25</f>
        <v>32025.420553638072</v>
      </c>
      <c r="K37" s="4"/>
      <c r="L37" s="12"/>
      <c r="M37" s="12"/>
      <c r="N37" s="29"/>
      <c r="O37" s="29"/>
      <c r="P37" s="29"/>
      <c r="Q37" s="151"/>
      <c r="R37" s="29"/>
      <c r="S37" s="29"/>
    </row>
    <row r="38" spans="1:19">
      <c r="A38" s="78"/>
      <c r="B38" s="12"/>
      <c r="C38" s="12"/>
      <c r="D38" s="12"/>
      <c r="E38" s="12"/>
      <c r="F38" s="12"/>
      <c r="G38" s="12"/>
      <c r="H38" s="39"/>
      <c r="I38" s="33"/>
      <c r="J38" s="33"/>
      <c r="K38" s="4"/>
      <c r="L38" s="12"/>
      <c r="M38" s="12"/>
      <c r="N38" s="29"/>
      <c r="O38" s="29"/>
      <c r="P38" s="29"/>
      <c r="Q38" s="151"/>
      <c r="R38" s="29"/>
      <c r="S38" s="29"/>
    </row>
    <row r="39" spans="1:19" ht="13.5" thickBot="1">
      <c r="A39" s="29"/>
      <c r="B39" s="12" t="s">
        <v>14</v>
      </c>
      <c r="C39" s="12"/>
      <c r="D39" s="12"/>
      <c r="E39" s="12"/>
      <c r="F39" s="12"/>
      <c r="G39" s="39"/>
      <c r="H39" s="39"/>
      <c r="I39" s="79"/>
      <c r="J39" s="80">
        <f>J37*J36</f>
        <v>-4.7423995122258837</v>
      </c>
      <c r="K39" s="4"/>
      <c r="L39" s="12"/>
      <c r="M39" s="12"/>
      <c r="N39" s="29"/>
      <c r="O39" s="29"/>
      <c r="P39" s="29"/>
      <c r="Q39" s="151"/>
      <c r="R39" s="29"/>
      <c r="S39" s="29"/>
    </row>
    <row r="40" spans="1:19" ht="13.5" thickTop="1">
      <c r="A40" s="29"/>
      <c r="B40" s="12"/>
      <c r="C40" s="12"/>
      <c r="D40" s="12"/>
      <c r="E40" s="12"/>
      <c r="F40" s="12"/>
      <c r="G40" s="39"/>
      <c r="H40" s="39"/>
      <c r="I40" s="79"/>
      <c r="J40" s="59"/>
      <c r="K40" s="4"/>
      <c r="L40" s="12"/>
      <c r="M40" s="12"/>
      <c r="N40" s="29"/>
      <c r="O40" s="29"/>
      <c r="P40" s="29"/>
      <c r="Q40" s="151"/>
      <c r="R40" s="29"/>
      <c r="S40" s="29"/>
    </row>
    <row r="41" spans="1:19">
      <c r="A41" s="29"/>
      <c r="B41" s="12"/>
      <c r="C41" s="12"/>
      <c r="D41" s="12"/>
      <c r="E41" s="12"/>
      <c r="F41" s="12"/>
      <c r="G41" s="39"/>
      <c r="H41" s="39"/>
      <c r="I41" s="79"/>
      <c r="J41" s="59"/>
      <c r="K41" s="4"/>
      <c r="L41" s="12"/>
      <c r="M41" s="12"/>
      <c r="N41" s="29"/>
      <c r="O41" s="29"/>
      <c r="P41" s="29"/>
      <c r="Q41" s="151"/>
      <c r="R41" s="29"/>
      <c r="S41" s="29"/>
    </row>
    <row r="42" spans="1:19">
      <c r="A42" s="29"/>
      <c r="B42" s="12"/>
      <c r="C42" s="12"/>
      <c r="D42" s="12"/>
      <c r="E42" s="12"/>
      <c r="F42" s="12"/>
      <c r="G42" s="39"/>
      <c r="H42" s="39"/>
      <c r="I42" s="79"/>
      <c r="J42" s="59"/>
      <c r="K42" s="4"/>
      <c r="L42" s="12"/>
      <c r="M42" s="12"/>
      <c r="N42" s="29"/>
      <c r="O42" s="29"/>
      <c r="P42" s="29"/>
      <c r="Q42" s="151"/>
      <c r="R42" s="29"/>
      <c r="S42" s="29"/>
    </row>
    <row r="43" spans="1:19">
      <c r="A43" s="29"/>
      <c r="B43" s="12"/>
      <c r="C43" s="12"/>
      <c r="D43" s="12"/>
      <c r="E43" s="12"/>
      <c r="F43" s="12"/>
      <c r="G43" s="39"/>
      <c r="H43" s="39"/>
      <c r="I43" s="79"/>
      <c r="J43" s="59"/>
      <c r="K43" s="4"/>
      <c r="L43" s="12"/>
      <c r="M43" s="12"/>
      <c r="N43" s="29"/>
      <c r="O43" s="29"/>
      <c r="P43" s="29"/>
      <c r="Q43" s="151"/>
      <c r="R43" s="29"/>
      <c r="S43" s="29"/>
    </row>
    <row r="44" spans="1:19">
      <c r="A44" s="29"/>
      <c r="B44" s="12"/>
      <c r="C44" s="12"/>
      <c r="D44" s="12"/>
      <c r="E44" s="12"/>
      <c r="F44" s="12"/>
      <c r="G44" s="39"/>
      <c r="H44" s="39"/>
      <c r="I44" s="79"/>
      <c r="J44" s="59"/>
      <c r="K44" s="4"/>
      <c r="L44" s="12"/>
      <c r="M44" s="12"/>
      <c r="N44" s="29"/>
      <c r="O44" s="29"/>
      <c r="P44" s="29"/>
      <c r="Q44" s="151"/>
      <c r="R44" s="29"/>
      <c r="S44" s="29"/>
    </row>
    <row r="45" spans="1:19">
      <c r="B45" s="7"/>
      <c r="C45" s="7"/>
      <c r="D45" s="7"/>
      <c r="E45" s="4"/>
      <c r="F45" s="35"/>
      <c r="G45" s="36"/>
      <c r="H45" s="36"/>
      <c r="I45" s="36"/>
      <c r="J45" s="36"/>
      <c r="K45" s="4"/>
      <c r="L45" s="12"/>
      <c r="M45" s="12"/>
      <c r="N45" s="29"/>
      <c r="O45" s="29"/>
      <c r="P45" s="29"/>
      <c r="Q45" s="151"/>
      <c r="R45" s="29"/>
      <c r="S45" s="29"/>
    </row>
    <row r="46" spans="1:19">
      <c r="A46" s="67" t="s">
        <v>365</v>
      </c>
      <c r="B46" s="29"/>
      <c r="C46" s="29"/>
      <c r="D46" s="29"/>
      <c r="E46" s="29"/>
      <c r="F46" s="29"/>
      <c r="G46" s="29"/>
      <c r="H46" s="29"/>
      <c r="I46" s="68"/>
      <c r="J46" s="68"/>
      <c r="K46" s="4"/>
      <c r="L46" s="12"/>
      <c r="M46" s="12"/>
      <c r="N46" s="29"/>
      <c r="O46" s="29"/>
      <c r="P46" s="29"/>
      <c r="Q46" s="151"/>
      <c r="R46" s="29"/>
      <c r="S46" s="29"/>
    </row>
    <row r="47" spans="1:19">
      <c r="A47" s="69"/>
      <c r="B47" s="12"/>
      <c r="C47" s="12"/>
      <c r="D47" s="39" t="s">
        <v>20</v>
      </c>
      <c r="E47" s="12"/>
      <c r="F47" s="39" t="s">
        <v>20</v>
      </c>
      <c r="G47" s="12"/>
      <c r="H47" s="39"/>
      <c r="I47" s="12"/>
      <c r="J47" s="62" t="s">
        <v>37</v>
      </c>
      <c r="K47" s="4"/>
      <c r="L47" s="12"/>
      <c r="M47" s="12"/>
      <c r="N47" s="29"/>
      <c r="O47" s="29"/>
      <c r="P47" s="29"/>
      <c r="Q47" s="151"/>
      <c r="R47" s="29"/>
      <c r="S47" s="29"/>
    </row>
    <row r="48" spans="1:19">
      <c r="A48" s="69"/>
      <c r="B48" s="12"/>
      <c r="C48" s="12"/>
      <c r="D48" s="39" t="s">
        <v>27</v>
      </c>
      <c r="E48" s="39" t="s">
        <v>20</v>
      </c>
      <c r="F48" s="40" t="s">
        <v>25</v>
      </c>
      <c r="G48" s="40" t="s">
        <v>0</v>
      </c>
      <c r="H48" s="40" t="s">
        <v>5</v>
      </c>
      <c r="I48" s="40" t="s">
        <v>1</v>
      </c>
      <c r="J48" s="40" t="s">
        <v>2</v>
      </c>
      <c r="K48" s="4"/>
      <c r="L48" s="12"/>
      <c r="M48" s="12"/>
      <c r="N48" s="29"/>
      <c r="O48" s="29"/>
      <c r="P48" s="29"/>
      <c r="Q48" s="151"/>
      <c r="R48" s="29"/>
      <c r="S48" s="29"/>
    </row>
    <row r="49" spans="1:19">
      <c r="A49" s="69"/>
      <c r="B49" s="12"/>
      <c r="C49" s="12"/>
      <c r="D49" s="60" t="s">
        <v>28</v>
      </c>
      <c r="E49" s="60" t="s">
        <v>28</v>
      </c>
      <c r="F49" s="60" t="s">
        <v>0</v>
      </c>
      <c r="G49" s="60" t="s">
        <v>3</v>
      </c>
      <c r="H49" s="60" t="s">
        <v>24</v>
      </c>
      <c r="I49" s="60" t="s">
        <v>4</v>
      </c>
      <c r="J49" s="63" t="s">
        <v>5</v>
      </c>
      <c r="K49" s="4"/>
      <c r="L49" s="98" t="s">
        <v>79</v>
      </c>
      <c r="M49" s="99"/>
      <c r="N49" s="100"/>
      <c r="O49" s="100"/>
      <c r="P49" s="101" t="s">
        <v>367</v>
      </c>
      <c r="Q49" s="149"/>
      <c r="R49" s="149">
        <f>E54</f>
        <v>46.878999999999998</v>
      </c>
      <c r="S49" s="100"/>
    </row>
    <row r="50" spans="1:19">
      <c r="A50" s="69"/>
      <c r="B50" s="12"/>
      <c r="C50" s="12"/>
      <c r="D50" s="12"/>
      <c r="E50" s="12"/>
      <c r="F50" s="12"/>
      <c r="G50" s="12"/>
      <c r="H50" s="12"/>
      <c r="I50" s="12"/>
      <c r="J50" s="12"/>
      <c r="K50" s="4"/>
      <c r="L50" s="99"/>
      <c r="M50" s="99"/>
      <c r="N50" s="100"/>
      <c r="O50" s="100"/>
      <c r="P50" s="100"/>
      <c r="Q50" s="149"/>
      <c r="R50" s="100"/>
      <c r="S50" s="100"/>
    </row>
    <row r="51" spans="1:19">
      <c r="A51" s="69"/>
      <c r="B51" s="12" t="s">
        <v>7</v>
      </c>
      <c r="C51" s="12"/>
      <c r="D51" s="70">
        <f>F27</f>
        <v>9358.4169999999995</v>
      </c>
      <c r="E51" s="28">
        <f>-P52</f>
        <v>-17.794859605310752</v>
      </c>
      <c r="F51" s="28">
        <f t="shared" ref="F51:F56" si="7">D51+E51</f>
        <v>9340.6221403946893</v>
      </c>
      <c r="G51" s="47">
        <f>F51/F58</f>
        <v>0.28665446206740747</v>
      </c>
      <c r="H51" s="47">
        <f>H27</f>
        <v>4.6199999999999998E-2</v>
      </c>
      <c r="I51" s="47">
        <f t="shared" ref="I51:I56" si="8">G51*H51</f>
        <v>1.3243436147514224E-2</v>
      </c>
      <c r="J51" s="33">
        <f t="shared" ref="J51:J55" si="9">+I51*1/(1-(0.00072+0.00065))</f>
        <v>1.3261604545741891E-2</v>
      </c>
      <c r="K51" s="4"/>
      <c r="L51" s="101" t="s">
        <v>76</v>
      </c>
      <c r="M51" s="102">
        <f>D53</f>
        <v>612.93920000000003</v>
      </c>
      <c r="N51" s="103">
        <f>M51/M54</f>
        <v>2.4861723447664377E-2</v>
      </c>
      <c r="O51" s="100"/>
      <c r="P51" s="223">
        <f>$R$49*N51</f>
        <v>1.1654927335030583</v>
      </c>
      <c r="Q51" s="149"/>
      <c r="R51" s="103"/>
      <c r="S51" s="100"/>
    </row>
    <row r="52" spans="1:19">
      <c r="A52" s="69"/>
      <c r="B52" s="12" t="s">
        <v>21</v>
      </c>
      <c r="C52" s="12"/>
      <c r="D52" s="44">
        <f t="shared" ref="D52:D56" si="10">F28</f>
        <v>407.32832999999999</v>
      </c>
      <c r="E52" s="28"/>
      <c r="F52" s="28">
        <f t="shared" si="7"/>
        <v>407.32832999999999</v>
      </c>
      <c r="G52" s="47">
        <f>F52/F58</f>
        <v>1.2500503881428995E-2</v>
      </c>
      <c r="H52" s="47">
        <f t="shared" ref="H52:H56" si="11">H28</f>
        <v>2.0500000000000001E-2</v>
      </c>
      <c r="I52" s="47">
        <f t="shared" si="8"/>
        <v>2.562603295692944E-4</v>
      </c>
      <c r="J52" s="33">
        <f t="shared" si="9"/>
        <v>2.5661188785565663E-4</v>
      </c>
      <c r="K52" s="4"/>
      <c r="L52" s="101" t="s">
        <v>77</v>
      </c>
      <c r="M52" s="102">
        <f>D51</f>
        <v>9358.4169999999995</v>
      </c>
      <c r="N52" s="103">
        <f>M52/M54</f>
        <v>0.37959127979075391</v>
      </c>
      <c r="O52" s="100"/>
      <c r="P52" s="223">
        <f>$R$49*N52</f>
        <v>17.794859605310752</v>
      </c>
      <c r="Q52" s="149"/>
      <c r="R52" s="103"/>
      <c r="S52" s="100"/>
    </row>
    <row r="53" spans="1:19">
      <c r="A53" s="69"/>
      <c r="B53" s="12" t="s">
        <v>6</v>
      </c>
      <c r="C53" s="12"/>
      <c r="D53" s="44">
        <f t="shared" si="10"/>
        <v>612.93920000000003</v>
      </c>
      <c r="E53" s="28">
        <f>-P51</f>
        <v>-1.1654927335030583</v>
      </c>
      <c r="F53" s="28">
        <f t="shared" si="7"/>
        <v>611.77370726649701</v>
      </c>
      <c r="G53" s="47">
        <f>F53/F58</f>
        <v>1.8774730454523141E-2</v>
      </c>
      <c r="H53" s="47">
        <f t="shared" si="11"/>
        <v>1.8499999999999999E-2</v>
      </c>
      <c r="I53" s="47">
        <f t="shared" si="8"/>
        <v>3.4733251340867809E-4</v>
      </c>
      <c r="J53" s="33">
        <f t="shared" si="9"/>
        <v>3.4780901175478213E-4</v>
      </c>
      <c r="K53" s="4"/>
      <c r="L53" s="101" t="s">
        <v>78</v>
      </c>
      <c r="M53" s="102">
        <f>D56</f>
        <v>14682.57422</v>
      </c>
      <c r="N53" s="103">
        <f>M53/M54</f>
        <v>0.59554699676158163</v>
      </c>
      <c r="O53" s="100"/>
      <c r="P53" s="223">
        <f>$R$49*N53</f>
        <v>27.918647661186185</v>
      </c>
      <c r="Q53" s="149"/>
      <c r="R53" s="103"/>
      <c r="S53" s="100"/>
    </row>
    <row r="54" spans="1:19">
      <c r="A54" s="69"/>
      <c r="B54" s="12" t="s">
        <v>22</v>
      </c>
      <c r="C54" s="12"/>
      <c r="D54" s="44">
        <f t="shared" si="10"/>
        <v>7417.4189837901749</v>
      </c>
      <c r="E54" s="28">
        <v>46.878999999999998</v>
      </c>
      <c r="F54" s="28">
        <f t="shared" si="7"/>
        <v>7464.2979837901748</v>
      </c>
      <c r="G54" s="47">
        <f>F54/F58</f>
        <v>0.22907192808934185</v>
      </c>
      <c r="H54" s="47">
        <f t="shared" si="11"/>
        <v>0</v>
      </c>
      <c r="I54" s="47">
        <f t="shared" si="8"/>
        <v>0</v>
      </c>
      <c r="J54" s="33">
        <f t="shared" si="9"/>
        <v>0</v>
      </c>
      <c r="K54" s="4"/>
      <c r="L54" s="99"/>
      <c r="M54" s="102">
        <f>SUM(M51:M53)</f>
        <v>24653.930420000001</v>
      </c>
      <c r="N54" s="100"/>
      <c r="O54" s="100"/>
      <c r="P54" s="223">
        <f>SUM(P51:P53)</f>
        <v>46.878999999999991</v>
      </c>
      <c r="Q54" s="149"/>
      <c r="R54" s="100"/>
      <c r="S54" s="100"/>
    </row>
    <row r="55" spans="1:19">
      <c r="A55" s="69"/>
      <c r="B55" s="12" t="s">
        <v>23</v>
      </c>
      <c r="C55" s="12"/>
      <c r="D55" s="44">
        <f t="shared" si="10"/>
        <v>106.27515</v>
      </c>
      <c r="E55" s="28"/>
      <c r="F55" s="28">
        <f t="shared" si="7"/>
        <v>106.27515</v>
      </c>
      <c r="G55" s="48">
        <f>F55/F58</f>
        <v>3.2614793208084708E-3</v>
      </c>
      <c r="H55" s="47">
        <f t="shared" si="11"/>
        <v>8.8200000000000001E-2</v>
      </c>
      <c r="I55" s="49">
        <f t="shared" si="8"/>
        <v>2.8766247609530711E-4</v>
      </c>
      <c r="J55" s="33">
        <f t="shared" si="9"/>
        <v>2.8805711434195559E-4</v>
      </c>
      <c r="K55" s="4"/>
      <c r="L55" s="99"/>
      <c r="M55" s="99"/>
      <c r="N55" s="100"/>
      <c r="O55" s="100"/>
      <c r="P55" s="100"/>
      <c r="Q55" s="100"/>
      <c r="R55" s="100"/>
      <c r="S55" s="100"/>
    </row>
    <row r="56" spans="1:19">
      <c r="A56" s="69"/>
      <c r="B56" s="12" t="s">
        <v>8</v>
      </c>
      <c r="C56" s="12"/>
      <c r="D56" s="71">
        <f t="shared" si="10"/>
        <v>14682.57422</v>
      </c>
      <c r="E56" s="50">
        <f>-P53</f>
        <v>-27.918647661186185</v>
      </c>
      <c r="F56" s="50">
        <f t="shared" si="7"/>
        <v>14654.655572338814</v>
      </c>
      <c r="G56" s="51">
        <f>F56/F58</f>
        <v>0.44973689618649015</v>
      </c>
      <c r="H56" s="47">
        <f t="shared" si="11"/>
        <v>0.115</v>
      </c>
      <c r="I56" s="52">
        <f t="shared" si="8"/>
        <v>5.1719743061446367E-2</v>
      </c>
      <c r="J56" s="51">
        <f>+I56*1.63024</f>
        <v>8.4315593928492319E-2</v>
      </c>
      <c r="K56" s="4"/>
      <c r="L56" s="99"/>
      <c r="M56" s="99"/>
      <c r="N56" s="100"/>
      <c r="O56" s="100"/>
      <c r="P56" s="100"/>
      <c r="Q56" s="100"/>
      <c r="R56" s="100"/>
      <c r="S56" s="100"/>
    </row>
    <row r="57" spans="1:19">
      <c r="A57" s="69"/>
      <c r="B57" s="12"/>
      <c r="C57" s="12"/>
      <c r="D57" s="12"/>
      <c r="E57" s="28"/>
      <c r="F57" s="72"/>
      <c r="G57" s="73"/>
      <c r="H57" s="74"/>
      <c r="I57" s="74"/>
      <c r="J57" s="74"/>
      <c r="K57" s="4"/>
      <c r="L57" s="12"/>
      <c r="M57" s="12"/>
      <c r="N57" s="29"/>
      <c r="O57" s="29"/>
      <c r="P57" s="29"/>
      <c r="Q57" s="151"/>
      <c r="R57" s="29"/>
      <c r="S57" s="29"/>
    </row>
    <row r="58" spans="1:19" ht="13.5" thickBot="1">
      <c r="A58" s="29"/>
      <c r="B58" s="75" t="s">
        <v>9</v>
      </c>
      <c r="C58" s="75"/>
      <c r="D58" s="76">
        <f>SUM(D51:D57)</f>
        <v>32584.952883790174</v>
      </c>
      <c r="E58" s="148">
        <f>SUM(E51:E57)</f>
        <v>0</v>
      </c>
      <c r="F58" s="77">
        <f>SUM(F51:F56)</f>
        <v>32584.952883790174</v>
      </c>
      <c r="G58" s="64">
        <f>SUM(G51:G56)</f>
        <v>1</v>
      </c>
      <c r="H58" s="64"/>
      <c r="I58" s="64">
        <f>SUM(I51:I56)</f>
        <v>6.585443452803387E-2</v>
      </c>
      <c r="J58" s="64">
        <f>SUM(J51:J57)</f>
        <v>9.8469676488186608E-2</v>
      </c>
      <c r="K58" s="4"/>
      <c r="L58" s="12"/>
      <c r="M58" s="12"/>
      <c r="N58" s="29"/>
      <c r="O58" s="29"/>
      <c r="P58" s="29"/>
      <c r="Q58" s="151"/>
      <c r="R58" s="29"/>
      <c r="S58" s="29"/>
    </row>
    <row r="59" spans="1:19" ht="13.5" thickTop="1">
      <c r="A59" s="29"/>
      <c r="B59" s="75"/>
      <c r="C59" s="75"/>
      <c r="D59" s="75"/>
      <c r="E59" s="12"/>
      <c r="F59" s="12"/>
      <c r="G59" s="33"/>
      <c r="H59" s="33"/>
      <c r="I59" s="33"/>
      <c r="J59" s="33"/>
      <c r="K59" s="4"/>
      <c r="L59" s="12"/>
      <c r="M59" s="12"/>
      <c r="N59" s="29"/>
      <c r="O59" s="29"/>
      <c r="P59" s="29"/>
      <c r="Q59" s="151"/>
      <c r="R59" s="29"/>
      <c r="S59" s="29"/>
    </row>
    <row r="60" spans="1:19">
      <c r="A60" s="69"/>
      <c r="B60" s="38" t="s">
        <v>13</v>
      </c>
      <c r="C60" s="38"/>
      <c r="D60" s="38"/>
      <c r="E60" s="12"/>
      <c r="F60" s="12"/>
      <c r="G60" s="33"/>
      <c r="H60" s="33"/>
      <c r="I60" s="33"/>
      <c r="J60" s="222">
        <f>J58-J34</f>
        <v>-1.8655735494602088E-4</v>
      </c>
      <c r="K60" s="4"/>
      <c r="L60" s="12"/>
      <c r="M60" s="12"/>
      <c r="N60" s="29"/>
      <c r="O60" s="29"/>
      <c r="P60" s="29"/>
      <c r="Q60" s="151"/>
      <c r="R60" s="29"/>
      <c r="S60" s="29"/>
    </row>
    <row r="61" spans="1:19">
      <c r="A61" s="78"/>
      <c r="B61" s="29" t="s">
        <v>12</v>
      </c>
      <c r="C61" s="29"/>
      <c r="D61" s="29"/>
      <c r="E61" s="29"/>
      <c r="F61" s="29"/>
      <c r="G61" s="29"/>
      <c r="H61" s="29"/>
      <c r="I61" s="68"/>
      <c r="J61" s="65">
        <f>'Exh. LK-27 - Page 1'!$D$25</f>
        <v>32025.420553638072</v>
      </c>
      <c r="K61" s="4"/>
      <c r="L61" s="12"/>
      <c r="M61" s="12"/>
      <c r="N61" s="29"/>
      <c r="O61" s="29"/>
      <c r="P61" s="29"/>
      <c r="Q61" s="151"/>
      <c r="R61" s="29"/>
      <c r="S61" s="29"/>
    </row>
    <row r="62" spans="1:19">
      <c r="A62" s="78"/>
      <c r="B62" s="12"/>
      <c r="C62" s="12"/>
      <c r="D62" s="12"/>
      <c r="E62" s="12"/>
      <c r="F62" s="12"/>
      <c r="G62" s="12"/>
      <c r="H62" s="39"/>
      <c r="I62" s="33"/>
      <c r="J62" s="33"/>
      <c r="K62" s="4"/>
      <c r="L62" s="12"/>
      <c r="M62" s="12"/>
      <c r="N62" s="29"/>
      <c r="O62" s="29"/>
      <c r="P62" s="29"/>
      <c r="Q62" s="151"/>
      <c r="R62" s="29"/>
      <c r="S62" s="29"/>
    </row>
    <row r="63" spans="1:19" ht="13.5" thickBot="1">
      <c r="A63" s="29"/>
      <c r="B63" s="12" t="s">
        <v>14</v>
      </c>
      <c r="C63" s="12"/>
      <c r="D63" s="12"/>
      <c r="E63" s="12"/>
      <c r="F63" s="12"/>
      <c r="G63" s="39"/>
      <c r="H63" s="39"/>
      <c r="I63" s="79"/>
      <c r="J63" s="80">
        <f>J61*J60</f>
        <v>-5.97457774952065</v>
      </c>
      <c r="K63" s="4"/>
      <c r="L63" s="12"/>
      <c r="M63" s="12"/>
      <c r="N63" s="29"/>
      <c r="O63" s="29"/>
      <c r="P63" s="29"/>
      <c r="Q63" s="151"/>
      <c r="R63" s="29"/>
      <c r="S63" s="29"/>
    </row>
    <row r="64" spans="1:19" ht="13.5" thickTop="1">
      <c r="A64" s="29"/>
      <c r="B64" s="12"/>
      <c r="C64" s="12"/>
      <c r="D64" s="12"/>
      <c r="E64" s="12"/>
      <c r="F64" s="12"/>
      <c r="G64" s="39"/>
      <c r="H64" s="39"/>
      <c r="I64" s="79"/>
      <c r="J64" s="59"/>
      <c r="K64" s="4"/>
      <c r="L64" s="12"/>
      <c r="M64" s="12"/>
      <c r="N64" s="29"/>
      <c r="O64" s="29"/>
      <c r="P64" s="29"/>
      <c r="Q64" s="151"/>
      <c r="R64" s="29"/>
      <c r="S64" s="29"/>
    </row>
    <row r="65" spans="1:19">
      <c r="B65" s="7"/>
      <c r="C65" s="7"/>
      <c r="D65" s="7"/>
      <c r="E65" s="4"/>
      <c r="F65" s="35"/>
      <c r="G65" s="36"/>
      <c r="H65" s="36"/>
      <c r="I65" s="36"/>
      <c r="J65" s="36"/>
      <c r="K65" s="4"/>
      <c r="L65" s="12"/>
      <c r="M65" s="12"/>
      <c r="N65" s="29"/>
      <c r="O65" s="29"/>
      <c r="P65" s="29"/>
      <c r="Q65" s="151"/>
      <c r="R65" s="29"/>
      <c r="S65" s="29"/>
    </row>
    <row r="66" spans="1:19">
      <c r="A66" s="67" t="s">
        <v>366</v>
      </c>
      <c r="B66" s="29"/>
      <c r="C66" s="29"/>
      <c r="D66" s="29"/>
      <c r="E66" s="29"/>
      <c r="F66" s="29"/>
      <c r="G66" s="29"/>
      <c r="H66" s="29"/>
      <c r="I66" s="68"/>
      <c r="J66" s="68"/>
      <c r="K66" s="4"/>
      <c r="L66" s="12"/>
      <c r="M66" s="12"/>
      <c r="N66" s="29"/>
      <c r="O66" s="29"/>
      <c r="P66" s="29"/>
      <c r="Q66" s="151"/>
      <c r="R66" s="29"/>
      <c r="S66" s="29"/>
    </row>
    <row r="67" spans="1:19">
      <c r="A67" s="69"/>
      <c r="B67" s="12"/>
      <c r="C67" s="12"/>
      <c r="D67" s="39" t="s">
        <v>20</v>
      </c>
      <c r="E67" s="12"/>
      <c r="F67" s="39" t="s">
        <v>20</v>
      </c>
      <c r="G67" s="12"/>
      <c r="H67" s="39"/>
      <c r="I67" s="12"/>
      <c r="J67" s="62" t="s">
        <v>37</v>
      </c>
      <c r="K67" s="4"/>
      <c r="L67" s="12"/>
      <c r="M67" s="12"/>
      <c r="N67" s="29"/>
      <c r="O67" s="29"/>
      <c r="P67" s="29"/>
      <c r="Q67" s="151"/>
      <c r="R67" s="29"/>
      <c r="S67" s="29"/>
    </row>
    <row r="68" spans="1:19">
      <c r="A68" s="69"/>
      <c r="B68" s="12"/>
      <c r="C68" s="12"/>
      <c r="D68" s="39" t="s">
        <v>27</v>
      </c>
      <c r="E68" s="39" t="s">
        <v>20</v>
      </c>
      <c r="F68" s="40" t="s">
        <v>25</v>
      </c>
      <c r="G68" s="40" t="s">
        <v>0</v>
      </c>
      <c r="H68" s="40" t="s">
        <v>5</v>
      </c>
      <c r="I68" s="40" t="s">
        <v>1</v>
      </c>
      <c r="J68" s="40" t="s">
        <v>2</v>
      </c>
      <c r="K68" s="4"/>
      <c r="L68" s="12"/>
      <c r="M68" s="12"/>
      <c r="N68" s="29"/>
      <c r="O68" s="29"/>
      <c r="P68" s="29"/>
      <c r="Q68" s="151"/>
      <c r="R68" s="29"/>
      <c r="S68" s="29"/>
    </row>
    <row r="69" spans="1:19">
      <c r="A69" s="69"/>
      <c r="B69" s="12"/>
      <c r="C69" s="12"/>
      <c r="D69" s="60" t="s">
        <v>28</v>
      </c>
      <c r="E69" s="60" t="s">
        <v>28</v>
      </c>
      <c r="F69" s="60" t="s">
        <v>0</v>
      </c>
      <c r="G69" s="60" t="s">
        <v>3</v>
      </c>
      <c r="H69" s="60" t="s">
        <v>24</v>
      </c>
      <c r="I69" s="60" t="s">
        <v>4</v>
      </c>
      <c r="J69" s="63" t="s">
        <v>5</v>
      </c>
      <c r="K69" s="4"/>
      <c r="L69" s="12"/>
      <c r="M69" s="12"/>
      <c r="N69" s="29"/>
      <c r="O69" s="29"/>
      <c r="P69" s="29"/>
      <c r="Q69" s="151"/>
      <c r="R69" s="29"/>
      <c r="S69" s="29"/>
    </row>
    <row r="70" spans="1:19">
      <c r="A70" s="69"/>
      <c r="B70" s="12"/>
      <c r="C70" s="12"/>
      <c r="D70" s="12"/>
      <c r="E70" s="12"/>
      <c r="F70" s="12"/>
      <c r="G70" s="12"/>
      <c r="H70" s="12"/>
      <c r="I70" s="12"/>
      <c r="J70" s="12"/>
      <c r="K70" s="4"/>
      <c r="L70" s="12"/>
      <c r="M70" s="12"/>
      <c r="N70" s="29"/>
      <c r="O70" s="29"/>
      <c r="P70" s="29"/>
      <c r="Q70" s="151"/>
      <c r="R70" s="29"/>
      <c r="S70" s="29"/>
    </row>
    <row r="71" spans="1:19">
      <c r="A71" s="69"/>
      <c r="B71" s="12" t="s">
        <v>7</v>
      </c>
      <c r="C71" s="12"/>
      <c r="D71" s="70">
        <f>F51</f>
        <v>9340.6221403946893</v>
      </c>
      <c r="E71" s="28"/>
      <c r="F71" s="28">
        <f t="shared" ref="F71:F76" si="12">D71+E71</f>
        <v>9340.6221403946893</v>
      </c>
      <c r="G71" s="47">
        <f>F71/F78</f>
        <v>0.28665446206740747</v>
      </c>
      <c r="H71" s="47">
        <f>H12</f>
        <v>4.6199999999999998E-2</v>
      </c>
      <c r="I71" s="47">
        <f t="shared" ref="I71:I76" si="13">G71*H71</f>
        <v>1.3243436147514224E-2</v>
      </c>
      <c r="J71" s="33">
        <f t="shared" ref="J71:J75" si="14">+I71*1/(1-(0.00072+0.00065))</f>
        <v>1.3261604545741891E-2</v>
      </c>
      <c r="K71" s="4"/>
      <c r="L71" s="12"/>
      <c r="M71" s="12"/>
      <c r="N71" s="29"/>
      <c r="O71" s="29"/>
      <c r="P71" s="29"/>
      <c r="Q71" s="151"/>
      <c r="R71" s="29"/>
      <c r="S71" s="29"/>
    </row>
    <row r="72" spans="1:19">
      <c r="A72" s="69"/>
      <c r="B72" s="12" t="s">
        <v>21</v>
      </c>
      <c r="C72" s="12"/>
      <c r="D72" s="44">
        <f t="shared" ref="D72:D76" si="15">F52</f>
        <v>407.32832999999999</v>
      </c>
      <c r="E72" s="28"/>
      <c r="F72" s="28">
        <f t="shared" si="12"/>
        <v>407.32832999999999</v>
      </c>
      <c r="G72" s="47">
        <f>F72/F78</f>
        <v>1.2500503881428995E-2</v>
      </c>
      <c r="H72" s="47">
        <f>H13</f>
        <v>2.0500000000000001E-2</v>
      </c>
      <c r="I72" s="47">
        <f t="shared" si="13"/>
        <v>2.562603295692944E-4</v>
      </c>
      <c r="J72" s="33">
        <f t="shared" si="14"/>
        <v>2.5661188785565663E-4</v>
      </c>
      <c r="K72" s="4"/>
      <c r="L72" s="12"/>
      <c r="M72" s="12"/>
      <c r="N72" s="29"/>
      <c r="O72" s="29"/>
      <c r="P72" s="29"/>
      <c r="Q72" s="151"/>
      <c r="R72" s="29"/>
      <c r="S72" s="29"/>
    </row>
    <row r="73" spans="1:19">
      <c r="A73" s="69"/>
      <c r="B73" s="12" t="s">
        <v>6</v>
      </c>
      <c r="C73" s="12"/>
      <c r="D73" s="44">
        <f t="shared" si="15"/>
        <v>611.77370726649701</v>
      </c>
      <c r="E73" s="28"/>
      <c r="F73" s="28">
        <f t="shared" si="12"/>
        <v>611.77370726649701</v>
      </c>
      <c r="G73" s="47">
        <f>F73/F78</f>
        <v>1.8774730454523141E-2</v>
      </c>
      <c r="H73" s="47">
        <v>1.1900000000000001E-2</v>
      </c>
      <c r="I73" s="47">
        <f t="shared" si="13"/>
        <v>2.2341929240882541E-4</v>
      </c>
      <c r="J73" s="33">
        <f t="shared" si="14"/>
        <v>2.2372579675037342E-4</v>
      </c>
      <c r="K73" s="4"/>
      <c r="L73" s="12"/>
      <c r="M73" s="12"/>
      <c r="N73" s="29"/>
      <c r="O73" s="29"/>
      <c r="P73" s="29"/>
      <c r="Q73" s="151"/>
      <c r="R73" s="29"/>
      <c r="S73" s="29"/>
    </row>
    <row r="74" spans="1:19">
      <c r="A74" s="69"/>
      <c r="B74" s="12" t="s">
        <v>22</v>
      </c>
      <c r="C74" s="12"/>
      <c r="D74" s="44">
        <f t="shared" si="15"/>
        <v>7464.2979837901748</v>
      </c>
      <c r="E74" s="28"/>
      <c r="F74" s="28">
        <f t="shared" si="12"/>
        <v>7464.2979837901748</v>
      </c>
      <c r="G74" s="47">
        <f>F74/F78</f>
        <v>0.22907192808934185</v>
      </c>
      <c r="H74" s="47">
        <f>H15</f>
        <v>0</v>
      </c>
      <c r="I74" s="47">
        <f t="shared" si="13"/>
        <v>0</v>
      </c>
      <c r="J74" s="33">
        <f t="shared" si="14"/>
        <v>0</v>
      </c>
      <c r="K74" s="4"/>
      <c r="L74" s="12"/>
      <c r="M74" s="12"/>
      <c r="N74" s="29"/>
      <c r="O74" s="29"/>
      <c r="P74" s="29"/>
      <c r="Q74" s="151"/>
      <c r="R74" s="29"/>
      <c r="S74" s="29"/>
    </row>
    <row r="75" spans="1:19">
      <c r="A75" s="69"/>
      <c r="B75" s="12" t="s">
        <v>23</v>
      </c>
      <c r="C75" s="12"/>
      <c r="D75" s="44">
        <f t="shared" si="15"/>
        <v>106.27515</v>
      </c>
      <c r="E75" s="28"/>
      <c r="F75" s="28">
        <f t="shared" si="12"/>
        <v>106.27515</v>
      </c>
      <c r="G75" s="48">
        <f>F75/F78</f>
        <v>3.2614793208084708E-3</v>
      </c>
      <c r="H75" s="47">
        <f>H16</f>
        <v>8.8200000000000001E-2</v>
      </c>
      <c r="I75" s="49">
        <f t="shared" si="13"/>
        <v>2.8766247609530711E-4</v>
      </c>
      <c r="J75" s="33">
        <f t="shared" si="14"/>
        <v>2.8805711434195559E-4</v>
      </c>
      <c r="K75" s="4"/>
      <c r="L75" s="12"/>
      <c r="M75" s="12"/>
      <c r="N75" s="29"/>
      <c r="O75" s="29"/>
      <c r="P75" s="29"/>
      <c r="Q75" s="151"/>
      <c r="R75" s="29"/>
      <c r="S75" s="29"/>
    </row>
    <row r="76" spans="1:19">
      <c r="A76" s="69"/>
      <c r="B76" s="12" t="s">
        <v>8</v>
      </c>
      <c r="C76" s="12"/>
      <c r="D76" s="71">
        <f t="shared" si="15"/>
        <v>14654.655572338814</v>
      </c>
      <c r="E76" s="50"/>
      <c r="F76" s="50">
        <f t="shared" si="12"/>
        <v>14654.655572338814</v>
      </c>
      <c r="G76" s="51">
        <f>F76/F78</f>
        <v>0.44973689618649015</v>
      </c>
      <c r="H76" s="47">
        <f>H17</f>
        <v>0.115</v>
      </c>
      <c r="I76" s="52">
        <f t="shared" si="13"/>
        <v>5.1719743061446367E-2</v>
      </c>
      <c r="J76" s="51">
        <f>+I76*1.63024</f>
        <v>8.4315593928492319E-2</v>
      </c>
      <c r="K76" s="4"/>
      <c r="L76" s="12"/>
      <c r="M76" s="12"/>
      <c r="N76" s="29"/>
      <c r="O76" s="29"/>
      <c r="P76" s="29"/>
      <c r="Q76" s="151"/>
      <c r="R76" s="29"/>
      <c r="S76" s="29"/>
    </row>
    <row r="77" spans="1:19">
      <c r="A77" s="69"/>
      <c r="B77" s="12"/>
      <c r="C77" s="12"/>
      <c r="D77" s="12"/>
      <c r="E77" s="28"/>
      <c r="F77" s="72"/>
      <c r="G77" s="73"/>
      <c r="H77" s="74"/>
      <c r="I77" s="74"/>
      <c r="J77" s="74"/>
      <c r="K77" s="4"/>
      <c r="L77" s="12"/>
      <c r="M77" s="12"/>
      <c r="N77" s="29"/>
      <c r="O77" s="29"/>
      <c r="P77" s="29"/>
      <c r="Q77" s="151"/>
      <c r="R77" s="29"/>
      <c r="S77" s="29"/>
    </row>
    <row r="78" spans="1:19" ht="13.5" thickBot="1">
      <c r="A78" s="29"/>
      <c r="B78" s="75" t="s">
        <v>9</v>
      </c>
      <c r="C78" s="75"/>
      <c r="D78" s="76">
        <f>SUM(D71:D77)</f>
        <v>32584.952883790174</v>
      </c>
      <c r="E78" s="148">
        <f>SUM(E71:E77)</f>
        <v>0</v>
      </c>
      <c r="F78" s="77">
        <f>SUM(F71:F76)</f>
        <v>32584.952883790174</v>
      </c>
      <c r="G78" s="64">
        <f>SUM(G71:G76)</f>
        <v>1</v>
      </c>
      <c r="H78" s="64"/>
      <c r="I78" s="64">
        <f>SUM(I71:I76)</f>
        <v>6.5730521307034023E-2</v>
      </c>
      <c r="J78" s="64">
        <f>SUM(J71:J77)</f>
        <v>9.8345593273182194E-2</v>
      </c>
      <c r="K78" s="4"/>
      <c r="L78" s="12"/>
      <c r="M78" s="12"/>
      <c r="N78" s="29"/>
      <c r="O78" s="29"/>
      <c r="P78" s="29"/>
      <c r="Q78" s="151"/>
      <c r="R78" s="29"/>
      <c r="S78" s="29"/>
    </row>
    <row r="79" spans="1:19" ht="13.5" thickTop="1">
      <c r="A79" s="29"/>
      <c r="B79" s="75"/>
      <c r="C79" s="75"/>
      <c r="D79" s="75"/>
      <c r="E79" s="12"/>
      <c r="F79" s="12"/>
      <c r="G79" s="33"/>
      <c r="H79" s="33"/>
      <c r="I79" s="33"/>
      <c r="J79" s="33"/>
      <c r="K79" s="4"/>
      <c r="L79" s="12"/>
      <c r="M79" s="12"/>
      <c r="N79" s="29"/>
      <c r="O79" s="29"/>
      <c r="P79" s="29"/>
      <c r="Q79" s="151"/>
      <c r="R79" s="29"/>
      <c r="S79" s="29"/>
    </row>
    <row r="80" spans="1:19">
      <c r="A80" s="69"/>
      <c r="B80" s="38" t="s">
        <v>13</v>
      </c>
      <c r="C80" s="38"/>
      <c r="D80" s="38"/>
      <c r="E80" s="12"/>
      <c r="F80" s="12"/>
      <c r="G80" s="33"/>
      <c r="H80" s="33"/>
      <c r="I80" s="33"/>
      <c r="J80" s="33">
        <f>J78-J58</f>
        <v>-1.240832150044141E-4</v>
      </c>
      <c r="K80" s="4"/>
      <c r="L80" s="12"/>
      <c r="M80" s="12"/>
      <c r="N80" s="29"/>
      <c r="O80" s="29"/>
      <c r="P80" s="29"/>
      <c r="Q80" s="151"/>
      <c r="R80" s="29"/>
      <c r="S80" s="29"/>
    </row>
    <row r="81" spans="1:19">
      <c r="A81" s="78"/>
      <c r="B81" s="29" t="s">
        <v>12</v>
      </c>
      <c r="C81" s="29"/>
      <c r="D81" s="29"/>
      <c r="E81" s="29"/>
      <c r="F81" s="29"/>
      <c r="G81" s="29"/>
      <c r="H81" s="29"/>
      <c r="I81" s="68"/>
      <c r="J81" s="65">
        <f>'Exh. LK-27 - Page 1'!$D$25</f>
        <v>32025.420553638072</v>
      </c>
      <c r="K81" s="4"/>
      <c r="L81" s="12"/>
      <c r="M81" s="12"/>
      <c r="N81" s="29"/>
      <c r="O81" s="29"/>
      <c r="P81" s="29"/>
      <c r="Q81" s="151"/>
      <c r="R81" s="29"/>
      <c r="S81" s="29"/>
    </row>
    <row r="82" spans="1:19">
      <c r="A82" s="78"/>
      <c r="B82" s="12"/>
      <c r="C82" s="12"/>
      <c r="D82" s="12"/>
      <c r="E82" s="12"/>
      <c r="F82" s="12"/>
      <c r="G82" s="12"/>
      <c r="H82" s="39"/>
      <c r="I82" s="33"/>
      <c r="J82" s="33"/>
      <c r="K82" s="4"/>
      <c r="L82" s="12"/>
      <c r="M82" s="12"/>
      <c r="N82" s="29"/>
      <c r="O82" s="29"/>
      <c r="P82" s="29"/>
      <c r="Q82" s="151"/>
      <c r="R82" s="29"/>
      <c r="S82" s="29"/>
    </row>
    <row r="83" spans="1:19" ht="13.5" thickBot="1">
      <c r="A83" s="29"/>
      <c r="B83" s="12" t="s">
        <v>14</v>
      </c>
      <c r="C83" s="12"/>
      <c r="D83" s="12"/>
      <c r="E83" s="12"/>
      <c r="F83" s="12"/>
      <c r="G83" s="39"/>
      <c r="H83" s="39"/>
      <c r="I83" s="79"/>
      <c r="J83" s="80">
        <f>J81*J80</f>
        <v>-3.9738171441638555</v>
      </c>
      <c r="K83" s="4"/>
      <c r="L83" s="12"/>
      <c r="M83" s="12"/>
      <c r="N83" s="29"/>
      <c r="O83" s="29"/>
      <c r="P83" s="29"/>
      <c r="Q83" s="151"/>
      <c r="R83" s="29"/>
      <c r="S83" s="29"/>
    </row>
    <row r="84" spans="1:19" ht="13.5" thickTop="1">
      <c r="B84" s="7"/>
      <c r="C84" s="7"/>
      <c r="D84" s="7"/>
      <c r="E84" s="4"/>
      <c r="F84" s="35"/>
      <c r="G84" s="36"/>
      <c r="H84" s="36"/>
      <c r="I84" s="36"/>
      <c r="J84" s="36"/>
      <c r="K84" s="4"/>
      <c r="L84" s="12"/>
      <c r="M84" s="12"/>
      <c r="N84" s="29"/>
      <c r="O84" s="29"/>
      <c r="P84" s="29"/>
      <c r="Q84" s="151"/>
      <c r="R84" s="29"/>
      <c r="S84" s="29"/>
    </row>
    <row r="85" spans="1:19">
      <c r="B85" s="7"/>
      <c r="C85" s="7"/>
      <c r="D85" s="7"/>
      <c r="E85" s="4"/>
      <c r="F85" s="35"/>
      <c r="G85" s="36"/>
      <c r="H85" s="36"/>
      <c r="I85" s="36"/>
      <c r="J85" s="36"/>
      <c r="K85" s="4"/>
      <c r="L85" s="12"/>
      <c r="M85" s="12"/>
      <c r="N85" s="29"/>
      <c r="O85" s="29"/>
      <c r="P85" s="29"/>
      <c r="Q85" s="151"/>
      <c r="R85" s="29"/>
      <c r="S85" s="29"/>
    </row>
    <row r="86" spans="1:19">
      <c r="A86" s="67" t="s">
        <v>583</v>
      </c>
      <c r="B86" s="29"/>
      <c r="C86" s="29"/>
      <c r="D86" s="29"/>
      <c r="E86" s="29"/>
      <c r="F86" s="29"/>
      <c r="G86" s="29"/>
      <c r="H86" s="29"/>
      <c r="I86" s="68"/>
      <c r="J86" s="68"/>
      <c r="K86" s="4"/>
      <c r="L86" s="12"/>
      <c r="M86" s="12"/>
      <c r="N86" s="29"/>
      <c r="O86" s="29"/>
      <c r="P86" s="29"/>
      <c r="Q86" s="151"/>
      <c r="R86" s="29"/>
      <c r="S86" s="29"/>
    </row>
    <row r="87" spans="1:19">
      <c r="A87" s="69"/>
      <c r="B87" s="12"/>
      <c r="C87" s="12"/>
      <c r="D87" s="39" t="s">
        <v>20</v>
      </c>
      <c r="E87" s="12"/>
      <c r="F87" s="39" t="s">
        <v>20</v>
      </c>
      <c r="G87" s="12"/>
      <c r="H87" s="39"/>
      <c r="I87" s="12"/>
      <c r="J87" s="62" t="s">
        <v>37</v>
      </c>
      <c r="K87" s="4"/>
      <c r="L87" s="12"/>
      <c r="M87" s="12"/>
      <c r="N87" s="29"/>
      <c r="O87" s="29"/>
      <c r="P87" s="29"/>
      <c r="Q87" s="151"/>
      <c r="R87" s="29"/>
      <c r="S87" s="29"/>
    </row>
    <row r="88" spans="1:19">
      <c r="A88" s="69"/>
      <c r="B88" s="12"/>
      <c r="C88" s="12"/>
      <c r="D88" s="39" t="s">
        <v>27</v>
      </c>
      <c r="E88" s="39" t="s">
        <v>20</v>
      </c>
      <c r="F88" s="40" t="s">
        <v>25</v>
      </c>
      <c r="G88" s="40" t="s">
        <v>0</v>
      </c>
      <c r="H88" s="40" t="s">
        <v>5</v>
      </c>
      <c r="I88" s="40" t="s">
        <v>1</v>
      </c>
      <c r="J88" s="40" t="s">
        <v>2</v>
      </c>
      <c r="K88" s="4"/>
      <c r="L88" s="12"/>
      <c r="M88" s="12"/>
      <c r="N88" s="29"/>
      <c r="O88" s="29"/>
      <c r="P88" s="29"/>
      <c r="Q88" s="151"/>
      <c r="R88" s="29"/>
      <c r="S88" s="29"/>
    </row>
    <row r="89" spans="1:19">
      <c r="A89" s="69"/>
      <c r="B89" s="12"/>
      <c r="C89" s="12"/>
      <c r="D89" s="60" t="s">
        <v>28</v>
      </c>
      <c r="E89" s="60" t="s">
        <v>28</v>
      </c>
      <c r="F89" s="60" t="s">
        <v>0</v>
      </c>
      <c r="G89" s="60" t="s">
        <v>3</v>
      </c>
      <c r="H89" s="60" t="s">
        <v>24</v>
      </c>
      <c r="I89" s="60" t="s">
        <v>4</v>
      </c>
      <c r="J89" s="63" t="s">
        <v>5</v>
      </c>
      <c r="K89" s="4"/>
      <c r="L89" s="12"/>
      <c r="M89" s="12"/>
      <c r="N89" s="29"/>
      <c r="O89" s="29"/>
      <c r="P89" s="29"/>
      <c r="Q89" s="151"/>
      <c r="R89" s="29"/>
      <c r="S89" s="29"/>
    </row>
    <row r="90" spans="1:19">
      <c r="A90" s="69"/>
      <c r="B90" s="12"/>
      <c r="C90" s="12"/>
      <c r="D90" s="12"/>
      <c r="E90" s="12"/>
      <c r="F90" s="12"/>
      <c r="G90" s="12"/>
      <c r="H90" s="12"/>
      <c r="I90" s="12"/>
      <c r="J90" s="12"/>
      <c r="K90" s="4"/>
      <c r="L90" s="12"/>
      <c r="M90" s="12"/>
      <c r="N90" s="29"/>
      <c r="O90" s="29"/>
      <c r="P90" s="29"/>
      <c r="Q90" s="151"/>
      <c r="R90" s="29"/>
      <c r="S90" s="29"/>
    </row>
    <row r="91" spans="1:19">
      <c r="A91" s="69"/>
      <c r="B91" s="12" t="s">
        <v>7</v>
      </c>
      <c r="C91" s="12"/>
      <c r="D91" s="70">
        <f>F71</f>
        <v>9340.6221403946893</v>
      </c>
      <c r="E91" s="28"/>
      <c r="F91" s="28">
        <f t="shared" ref="F91:F96" si="16">D91+E91</f>
        <v>9340.6221403946893</v>
      </c>
      <c r="G91" s="47">
        <f>F91/F98</f>
        <v>0.28665446206740747</v>
      </c>
      <c r="H91" s="47">
        <f>H71</f>
        <v>4.6199999999999998E-2</v>
      </c>
      <c r="I91" s="47">
        <f t="shared" ref="I91:I96" si="17">G91*H91</f>
        <v>1.3243436147514224E-2</v>
      </c>
      <c r="J91" s="33">
        <f t="shared" ref="J91:J95" si="18">+I91*1/(1-(0.00072+0.00065))</f>
        <v>1.3261604545741891E-2</v>
      </c>
      <c r="K91" s="4"/>
      <c r="L91" s="12"/>
      <c r="M91" s="12"/>
      <c r="N91" s="29"/>
      <c r="O91" s="29"/>
      <c r="P91" s="29"/>
      <c r="Q91" s="151"/>
      <c r="R91" s="29"/>
      <c r="S91" s="29"/>
    </row>
    <row r="92" spans="1:19">
      <c r="A92" s="69"/>
      <c r="B92" s="12" t="s">
        <v>21</v>
      </c>
      <c r="C92" s="12"/>
      <c r="D92" s="44">
        <f t="shared" ref="D92:D96" si="19">F72</f>
        <v>407.32832999999999</v>
      </c>
      <c r="E92" s="28"/>
      <c r="F92" s="28">
        <f t="shared" si="16"/>
        <v>407.32832999999999</v>
      </c>
      <c r="G92" s="47">
        <f>F92/F98</f>
        <v>1.2500503881428995E-2</v>
      </c>
      <c r="H92" s="47">
        <f t="shared" ref="H92:H96" si="20">H72</f>
        <v>2.0500000000000001E-2</v>
      </c>
      <c r="I92" s="47">
        <f t="shared" si="17"/>
        <v>2.562603295692944E-4</v>
      </c>
      <c r="J92" s="33">
        <f t="shared" si="18"/>
        <v>2.5661188785565663E-4</v>
      </c>
      <c r="K92" s="4"/>
      <c r="L92" s="12"/>
      <c r="M92" s="12"/>
      <c r="N92" s="29"/>
      <c r="O92" s="29"/>
      <c r="P92" s="29"/>
      <c r="Q92" s="151"/>
      <c r="R92" s="29"/>
      <c r="S92" s="29"/>
    </row>
    <row r="93" spans="1:19">
      <c r="A93" s="69"/>
      <c r="B93" s="12" t="s">
        <v>6</v>
      </c>
      <c r="C93" s="12"/>
      <c r="D93" s="44">
        <f t="shared" si="19"/>
        <v>611.77370726649701</v>
      </c>
      <c r="E93" s="28"/>
      <c r="F93" s="28">
        <f t="shared" si="16"/>
        <v>611.77370726649701</v>
      </c>
      <c r="G93" s="47">
        <f>F93/F98</f>
        <v>1.8774730454523141E-2</v>
      </c>
      <c r="H93" s="47">
        <v>5.5999999999999999E-3</v>
      </c>
      <c r="I93" s="47">
        <f t="shared" si="17"/>
        <v>1.0513849054532959E-4</v>
      </c>
      <c r="J93" s="33">
        <f t="shared" si="18"/>
        <v>1.0528272788252865E-4</v>
      </c>
      <c r="K93" s="4"/>
      <c r="L93" s="12"/>
      <c r="M93" s="12"/>
      <c r="N93" s="29"/>
      <c r="O93" s="29"/>
      <c r="P93" s="29"/>
      <c r="Q93" s="151"/>
      <c r="R93" s="29"/>
      <c r="S93" s="29"/>
    </row>
    <row r="94" spans="1:19">
      <c r="A94" s="69"/>
      <c r="B94" s="12" t="s">
        <v>22</v>
      </c>
      <c r="C94" s="12"/>
      <c r="D94" s="44">
        <f t="shared" si="19"/>
        <v>7464.2979837901748</v>
      </c>
      <c r="E94" s="28"/>
      <c r="F94" s="28">
        <f t="shared" si="16"/>
        <v>7464.2979837901748</v>
      </c>
      <c r="G94" s="47">
        <f>F94/F98</f>
        <v>0.22907192808934185</v>
      </c>
      <c r="H94" s="47">
        <f t="shared" si="20"/>
        <v>0</v>
      </c>
      <c r="I94" s="47">
        <f t="shared" si="17"/>
        <v>0</v>
      </c>
      <c r="J94" s="33">
        <f t="shared" si="18"/>
        <v>0</v>
      </c>
      <c r="K94" s="4"/>
      <c r="L94" s="12"/>
      <c r="M94" s="12"/>
      <c r="N94" s="29"/>
      <c r="O94" s="29"/>
      <c r="P94" s="29"/>
      <c r="Q94" s="151"/>
      <c r="R94" s="29"/>
      <c r="S94" s="29"/>
    </row>
    <row r="95" spans="1:19">
      <c r="A95" s="69"/>
      <c r="B95" s="12" t="s">
        <v>23</v>
      </c>
      <c r="C95" s="12"/>
      <c r="D95" s="44">
        <f t="shared" si="19"/>
        <v>106.27515</v>
      </c>
      <c r="E95" s="28"/>
      <c r="F95" s="28">
        <f t="shared" si="16"/>
        <v>106.27515</v>
      </c>
      <c r="G95" s="48">
        <f>F95/F98</f>
        <v>3.2614793208084708E-3</v>
      </c>
      <c r="H95" s="47">
        <f t="shared" si="20"/>
        <v>8.8200000000000001E-2</v>
      </c>
      <c r="I95" s="49">
        <f t="shared" si="17"/>
        <v>2.8766247609530711E-4</v>
      </c>
      <c r="J95" s="33">
        <f t="shared" si="18"/>
        <v>2.8805711434195559E-4</v>
      </c>
      <c r="K95" s="4"/>
      <c r="L95" s="12"/>
      <c r="M95" s="12"/>
      <c r="N95" s="29"/>
      <c r="O95" s="29"/>
      <c r="P95" s="29"/>
      <c r="Q95" s="151"/>
      <c r="R95" s="29"/>
      <c r="S95" s="29"/>
    </row>
    <row r="96" spans="1:19">
      <c r="A96" s="69"/>
      <c r="B96" s="12" t="s">
        <v>8</v>
      </c>
      <c r="C96" s="12"/>
      <c r="D96" s="71">
        <f t="shared" si="19"/>
        <v>14654.655572338814</v>
      </c>
      <c r="E96" s="50"/>
      <c r="F96" s="50">
        <f t="shared" si="16"/>
        <v>14654.655572338814</v>
      </c>
      <c r="G96" s="51">
        <f>F96/F98</f>
        <v>0.44973689618649015</v>
      </c>
      <c r="H96" s="47">
        <f t="shared" si="20"/>
        <v>0.115</v>
      </c>
      <c r="I96" s="52">
        <f t="shared" si="17"/>
        <v>5.1719743061446367E-2</v>
      </c>
      <c r="J96" s="51">
        <f>+I96*1.63024</f>
        <v>8.4315593928492319E-2</v>
      </c>
      <c r="K96" s="4"/>
      <c r="L96" s="12"/>
      <c r="M96" s="12"/>
      <c r="N96" s="29"/>
      <c r="O96" s="29"/>
      <c r="P96" s="29"/>
      <c r="Q96" s="151"/>
      <c r="R96" s="29"/>
      <c r="S96" s="29"/>
    </row>
    <row r="97" spans="1:19">
      <c r="A97" s="69"/>
      <c r="B97" s="12"/>
      <c r="C97" s="12"/>
      <c r="D97" s="12"/>
      <c r="E97" s="28"/>
      <c r="F97" s="72"/>
      <c r="G97" s="73"/>
      <c r="H97" s="74"/>
      <c r="I97" s="74"/>
      <c r="J97" s="74"/>
      <c r="K97" s="4"/>
      <c r="L97" s="12"/>
      <c r="M97" s="12"/>
      <c r="N97" s="29"/>
      <c r="O97" s="29"/>
      <c r="P97" s="29"/>
      <c r="Q97" s="151"/>
      <c r="R97" s="29"/>
      <c r="S97" s="29"/>
    </row>
    <row r="98" spans="1:19" ht="13.5" thickBot="1">
      <c r="A98" s="29"/>
      <c r="B98" s="75" t="s">
        <v>9</v>
      </c>
      <c r="C98" s="75"/>
      <c r="D98" s="76">
        <f>SUM(D91:D97)</f>
        <v>32584.952883790174</v>
      </c>
      <c r="E98" s="148">
        <f>SUM(E91:E97)</f>
        <v>0</v>
      </c>
      <c r="F98" s="77">
        <f>SUM(F91:F96)</f>
        <v>32584.952883790174</v>
      </c>
      <c r="G98" s="64">
        <f>SUM(G91:G96)</f>
        <v>1</v>
      </c>
      <c r="H98" s="64"/>
      <c r="I98" s="64">
        <f>SUM(I91:I96)</f>
        <v>6.5612240505170519E-2</v>
      </c>
      <c r="J98" s="64">
        <f>SUM(J91:J97)</f>
        <v>9.8227150204314356E-2</v>
      </c>
      <c r="K98" s="4"/>
      <c r="L98" s="12"/>
      <c r="M98" s="12"/>
      <c r="N98" s="29"/>
      <c r="O98" s="29"/>
      <c r="P98" s="29"/>
      <c r="Q98" s="151"/>
      <c r="R98" s="29"/>
      <c r="S98" s="29"/>
    </row>
    <row r="99" spans="1:19" ht="13.5" thickTop="1">
      <c r="A99" s="29"/>
      <c r="B99" s="75"/>
      <c r="C99" s="75"/>
      <c r="D99" s="75"/>
      <c r="E99" s="12"/>
      <c r="F99" s="12"/>
      <c r="G99" s="33"/>
      <c r="H99" s="33"/>
      <c r="I99" s="33"/>
      <c r="J99" s="33"/>
      <c r="K99" s="4"/>
      <c r="L99" s="12"/>
      <c r="M99" s="12"/>
      <c r="N99" s="29"/>
      <c r="O99" s="29"/>
      <c r="P99" s="29"/>
      <c r="Q99" s="151"/>
      <c r="R99" s="29"/>
      <c r="S99" s="29"/>
    </row>
    <row r="100" spans="1:19">
      <c r="A100" s="69"/>
      <c r="B100" s="38" t="s">
        <v>13</v>
      </c>
      <c r="C100" s="38"/>
      <c r="D100" s="38"/>
      <c r="E100" s="12"/>
      <c r="F100" s="12"/>
      <c r="G100" s="33"/>
      <c r="H100" s="33"/>
      <c r="I100" s="33"/>
      <c r="J100" s="33">
        <f>J98-J78</f>
        <v>-1.1844306886783784E-4</v>
      </c>
      <c r="K100" s="4"/>
      <c r="L100" s="12"/>
      <c r="M100" s="12"/>
      <c r="N100" s="29"/>
      <c r="O100" s="29"/>
      <c r="P100" s="29"/>
      <c r="Q100" s="151"/>
      <c r="R100" s="29"/>
      <c r="S100" s="29"/>
    </row>
    <row r="101" spans="1:19">
      <c r="A101" s="78"/>
      <c r="B101" s="29" t="s">
        <v>12</v>
      </c>
      <c r="C101" s="29"/>
      <c r="D101" s="29"/>
      <c r="E101" s="29"/>
      <c r="F101" s="29"/>
      <c r="G101" s="29"/>
      <c r="H101" s="29"/>
      <c r="I101" s="68"/>
      <c r="J101" s="65">
        <f>'Exh. LK-27 - Page 1'!$D$25</f>
        <v>32025.420553638072</v>
      </c>
      <c r="K101" s="4"/>
      <c r="L101" s="12"/>
      <c r="M101" s="12"/>
      <c r="N101" s="29"/>
      <c r="O101" s="29"/>
      <c r="P101" s="29"/>
      <c r="Q101" s="151"/>
      <c r="R101" s="29"/>
      <c r="S101" s="29"/>
    </row>
    <row r="102" spans="1:19">
      <c r="A102" s="78"/>
      <c r="B102" s="12"/>
      <c r="C102" s="12"/>
      <c r="D102" s="12"/>
      <c r="E102" s="12"/>
      <c r="F102" s="12"/>
      <c r="G102" s="12"/>
      <c r="H102" s="39"/>
      <c r="I102" s="33"/>
      <c r="J102" s="33"/>
      <c r="K102" s="4"/>
      <c r="L102" s="12"/>
      <c r="M102" s="12"/>
      <c r="N102" s="29"/>
      <c r="O102" s="29"/>
      <c r="P102" s="29"/>
      <c r="Q102" s="151"/>
      <c r="R102" s="29"/>
      <c r="S102" s="29"/>
    </row>
    <row r="103" spans="1:19" ht="13.5" thickBot="1">
      <c r="A103" s="29"/>
      <c r="B103" s="12" t="s">
        <v>14</v>
      </c>
      <c r="C103" s="12"/>
      <c r="D103" s="12"/>
      <c r="E103" s="12"/>
      <c r="F103" s="12"/>
      <c r="G103" s="39"/>
      <c r="H103" s="39"/>
      <c r="I103" s="79"/>
      <c r="J103" s="80">
        <f>J101*J100</f>
        <v>-3.7931890921560236</v>
      </c>
      <c r="K103" s="4"/>
      <c r="L103" s="12"/>
      <c r="M103" s="12"/>
      <c r="N103" s="29"/>
      <c r="O103" s="29"/>
      <c r="P103" s="29"/>
      <c r="Q103" s="151"/>
      <c r="R103" s="29"/>
      <c r="S103" s="29"/>
    </row>
    <row r="104" spans="1:19" ht="13.5" thickTop="1">
      <c r="A104" s="29"/>
      <c r="B104" s="12"/>
      <c r="C104" s="12"/>
      <c r="D104" s="12"/>
      <c r="E104" s="12"/>
      <c r="F104" s="12"/>
      <c r="G104" s="39"/>
      <c r="H104" s="39"/>
      <c r="I104" s="79"/>
      <c r="J104" s="59"/>
      <c r="K104" s="4"/>
      <c r="L104" s="12"/>
      <c r="M104" s="12"/>
      <c r="N104" s="29"/>
      <c r="O104" s="29"/>
      <c r="P104" s="29"/>
      <c r="Q104" s="151"/>
      <c r="R104" s="29"/>
      <c r="S104" s="29"/>
    </row>
    <row r="105" spans="1:19">
      <c r="A105" s="29"/>
      <c r="B105" s="12"/>
      <c r="C105" s="12"/>
      <c r="D105" s="12"/>
      <c r="E105" s="12"/>
      <c r="F105" s="12"/>
      <c r="G105" s="39"/>
      <c r="H105" s="39"/>
      <c r="I105" s="79"/>
      <c r="J105" s="59"/>
      <c r="K105" s="4"/>
      <c r="L105" s="12"/>
      <c r="M105" s="12"/>
      <c r="N105" s="29"/>
      <c r="O105" s="29"/>
      <c r="P105" s="29"/>
      <c r="Q105" s="151"/>
      <c r="R105" s="29"/>
      <c r="S105" s="29"/>
    </row>
    <row r="106" spans="1:19">
      <c r="A106" s="67" t="s">
        <v>598</v>
      </c>
      <c r="B106" s="29"/>
      <c r="C106" s="29"/>
      <c r="D106" s="29"/>
      <c r="E106" s="29"/>
      <c r="F106" s="29"/>
      <c r="G106" s="29"/>
      <c r="H106" s="29"/>
      <c r="I106" s="68"/>
      <c r="J106" s="68"/>
      <c r="K106" s="4"/>
      <c r="L106" s="12"/>
      <c r="M106" s="12"/>
      <c r="N106" s="29"/>
      <c r="O106" s="29"/>
      <c r="P106" s="29"/>
      <c r="Q106" s="151"/>
      <c r="R106" s="29"/>
      <c r="S106" s="29"/>
    </row>
    <row r="107" spans="1:19">
      <c r="A107" s="69"/>
      <c r="B107" s="12"/>
      <c r="C107" s="12"/>
      <c r="D107" s="39" t="s">
        <v>20</v>
      </c>
      <c r="E107" s="12"/>
      <c r="F107" s="39" t="s">
        <v>20</v>
      </c>
      <c r="G107" s="12"/>
      <c r="H107" s="39"/>
      <c r="I107" s="12"/>
      <c r="J107" s="62" t="s">
        <v>37</v>
      </c>
      <c r="K107" s="4"/>
      <c r="L107" s="12"/>
      <c r="M107" s="12"/>
      <c r="N107" s="29"/>
      <c r="O107" s="29"/>
      <c r="P107" s="29"/>
      <c r="Q107" s="151"/>
      <c r="R107" s="29"/>
      <c r="S107" s="29"/>
    </row>
    <row r="108" spans="1:19">
      <c r="A108" s="69"/>
      <c r="B108" s="12"/>
      <c r="C108" s="12"/>
      <c r="D108" s="39" t="s">
        <v>27</v>
      </c>
      <c r="E108" s="39" t="s">
        <v>20</v>
      </c>
      <c r="F108" s="40" t="s">
        <v>25</v>
      </c>
      <c r="G108" s="40" t="s">
        <v>0</v>
      </c>
      <c r="H108" s="40" t="s">
        <v>5</v>
      </c>
      <c r="I108" s="40" t="s">
        <v>1</v>
      </c>
      <c r="J108" s="40" t="s">
        <v>2</v>
      </c>
      <c r="K108" s="4"/>
      <c r="L108" s="12"/>
      <c r="M108" s="12"/>
      <c r="N108" s="29"/>
      <c r="O108" s="29"/>
      <c r="P108" s="29"/>
      <c r="Q108" s="151"/>
      <c r="R108" s="29"/>
      <c r="S108" s="29"/>
    </row>
    <row r="109" spans="1:19">
      <c r="A109" s="69"/>
      <c r="B109" s="12"/>
      <c r="C109" s="12"/>
      <c r="D109" s="60" t="s">
        <v>28</v>
      </c>
      <c r="E109" s="60" t="s">
        <v>28</v>
      </c>
      <c r="F109" s="60" t="s">
        <v>0</v>
      </c>
      <c r="G109" s="60" t="s">
        <v>3</v>
      </c>
      <c r="H109" s="60" t="s">
        <v>24</v>
      </c>
      <c r="I109" s="60" t="s">
        <v>4</v>
      </c>
      <c r="J109" s="63" t="s">
        <v>5</v>
      </c>
      <c r="K109" s="4"/>
      <c r="L109" s="12"/>
      <c r="M109" s="12"/>
      <c r="N109" s="29"/>
      <c r="O109" s="29"/>
      <c r="P109" s="29"/>
      <c r="Q109" s="151"/>
      <c r="R109" s="29"/>
      <c r="S109" s="29"/>
    </row>
    <row r="110" spans="1:19">
      <c r="A110" s="69"/>
      <c r="B110" s="12"/>
      <c r="C110" s="12"/>
      <c r="D110" s="12"/>
      <c r="E110" s="12"/>
      <c r="F110" s="12"/>
      <c r="G110" s="12"/>
      <c r="H110" s="12"/>
      <c r="I110" s="12"/>
      <c r="J110" s="12"/>
      <c r="K110" s="4"/>
      <c r="L110" s="12"/>
      <c r="M110" s="12"/>
      <c r="N110" s="29"/>
      <c r="O110" s="29"/>
      <c r="P110" s="29"/>
      <c r="Q110" s="151"/>
      <c r="R110" s="29"/>
      <c r="S110" s="29"/>
    </row>
    <row r="111" spans="1:19">
      <c r="A111" s="69"/>
      <c r="B111" s="12" t="s">
        <v>7</v>
      </c>
      <c r="C111" s="12"/>
      <c r="D111" s="70">
        <f>F91</f>
        <v>9340.6221403946893</v>
      </c>
      <c r="E111" s="28"/>
      <c r="F111" s="28">
        <f t="shared" ref="F111:F116" si="21">D111+E111</f>
        <v>9340.6221403946893</v>
      </c>
      <c r="G111" s="47">
        <f>F111/F118</f>
        <v>0.28665446206740747</v>
      </c>
      <c r="H111" s="47">
        <f>ROUND('As Adjusted MFR Sch. D-4 (2017)'!G79,4)</f>
        <v>4.5199999999999997E-2</v>
      </c>
      <c r="I111" s="47">
        <f t="shared" ref="I111:I116" si="22">G111*H111</f>
        <v>1.2956781685446816E-2</v>
      </c>
      <c r="J111" s="33">
        <f t="shared" ref="J111:J115" si="23">+I111*1/(1-(0.00072+0.00065))</f>
        <v>1.2974556828301589E-2</v>
      </c>
      <c r="K111" s="4"/>
      <c r="L111" s="12"/>
      <c r="M111" s="12"/>
      <c r="N111" s="29"/>
      <c r="O111" s="29"/>
      <c r="P111" s="29"/>
      <c r="Q111" s="151"/>
      <c r="R111" s="29"/>
      <c r="S111" s="29"/>
    </row>
    <row r="112" spans="1:19">
      <c r="A112" s="69"/>
      <c r="B112" s="12" t="s">
        <v>21</v>
      </c>
      <c r="C112" s="12"/>
      <c r="D112" s="44">
        <f t="shared" ref="D112:D116" si="24">F92</f>
        <v>407.32832999999999</v>
      </c>
      <c r="E112" s="28"/>
      <c r="F112" s="28">
        <f t="shared" si="21"/>
        <v>407.32832999999999</v>
      </c>
      <c r="G112" s="47">
        <f>F112/F118</f>
        <v>1.2500503881428995E-2</v>
      </c>
      <c r="H112" s="47">
        <f>H72</f>
        <v>2.0500000000000001E-2</v>
      </c>
      <c r="I112" s="47">
        <f t="shared" si="22"/>
        <v>2.562603295692944E-4</v>
      </c>
      <c r="J112" s="33">
        <f t="shared" si="23"/>
        <v>2.5661188785565663E-4</v>
      </c>
      <c r="K112" s="4"/>
      <c r="L112" s="12"/>
      <c r="M112" s="12"/>
      <c r="N112" s="29"/>
      <c r="O112" s="29"/>
      <c r="P112" s="29"/>
      <c r="Q112" s="151"/>
      <c r="R112" s="29"/>
      <c r="S112" s="29"/>
    </row>
    <row r="113" spans="1:19">
      <c r="A113" s="69"/>
      <c r="B113" s="12" t="s">
        <v>6</v>
      </c>
      <c r="C113" s="12"/>
      <c r="D113" s="44">
        <f t="shared" si="24"/>
        <v>611.77370726649701</v>
      </c>
      <c r="E113" s="28"/>
      <c r="F113" s="28">
        <f t="shared" si="21"/>
        <v>611.77370726649701</v>
      </c>
      <c r="G113" s="47">
        <f>F113/F118</f>
        <v>1.8774730454523141E-2</v>
      </c>
      <c r="H113" s="47">
        <f>H93</f>
        <v>5.5999999999999999E-3</v>
      </c>
      <c r="I113" s="47">
        <f t="shared" si="22"/>
        <v>1.0513849054532959E-4</v>
      </c>
      <c r="J113" s="33">
        <f t="shared" si="23"/>
        <v>1.0528272788252865E-4</v>
      </c>
      <c r="K113" s="4"/>
      <c r="L113" s="12"/>
      <c r="M113" s="12"/>
      <c r="N113" s="29"/>
      <c r="O113" s="29"/>
      <c r="P113" s="29"/>
      <c r="Q113" s="151"/>
      <c r="R113" s="29"/>
      <c r="S113" s="29"/>
    </row>
    <row r="114" spans="1:19">
      <c r="A114" s="69"/>
      <c r="B114" s="12" t="s">
        <v>22</v>
      </c>
      <c r="C114" s="12"/>
      <c r="D114" s="44">
        <f t="shared" si="24"/>
        <v>7464.2979837901748</v>
      </c>
      <c r="E114" s="28"/>
      <c r="F114" s="28">
        <f t="shared" si="21"/>
        <v>7464.2979837901748</v>
      </c>
      <c r="G114" s="47">
        <f>F114/F118</f>
        <v>0.22907192808934185</v>
      </c>
      <c r="H114" s="47">
        <f>H74</f>
        <v>0</v>
      </c>
      <c r="I114" s="47">
        <f t="shared" si="22"/>
        <v>0</v>
      </c>
      <c r="J114" s="33">
        <f t="shared" si="23"/>
        <v>0</v>
      </c>
      <c r="K114" s="4"/>
      <c r="L114" s="12"/>
      <c r="M114" s="12"/>
      <c r="N114" s="29"/>
      <c r="O114" s="29"/>
      <c r="P114" s="29"/>
      <c r="Q114" s="151"/>
      <c r="R114" s="29"/>
      <c r="S114" s="29"/>
    </row>
    <row r="115" spans="1:19">
      <c r="A115" s="69"/>
      <c r="B115" s="12" t="s">
        <v>23</v>
      </c>
      <c r="C115" s="12"/>
      <c r="D115" s="44">
        <f t="shared" si="24"/>
        <v>106.27515</v>
      </c>
      <c r="E115" s="28"/>
      <c r="F115" s="28">
        <f t="shared" si="21"/>
        <v>106.27515</v>
      </c>
      <c r="G115" s="48">
        <f>F115/F118</f>
        <v>3.2614793208084708E-3</v>
      </c>
      <c r="H115" s="47">
        <f>H75</f>
        <v>8.8200000000000001E-2</v>
      </c>
      <c r="I115" s="49">
        <f t="shared" si="22"/>
        <v>2.8766247609530711E-4</v>
      </c>
      <c r="J115" s="33">
        <f t="shared" si="23"/>
        <v>2.8805711434195559E-4</v>
      </c>
      <c r="K115" s="4"/>
      <c r="L115" s="12"/>
      <c r="M115" s="12"/>
      <c r="N115" s="29"/>
      <c r="O115" s="29"/>
      <c r="P115" s="29"/>
      <c r="Q115" s="151"/>
      <c r="R115" s="29"/>
      <c r="S115" s="29"/>
    </row>
    <row r="116" spans="1:19">
      <c r="A116" s="69"/>
      <c r="B116" s="12" t="s">
        <v>8</v>
      </c>
      <c r="C116" s="12"/>
      <c r="D116" s="71">
        <f t="shared" si="24"/>
        <v>14654.655572338814</v>
      </c>
      <c r="E116" s="50"/>
      <c r="F116" s="50">
        <f t="shared" si="21"/>
        <v>14654.655572338814</v>
      </c>
      <c r="G116" s="51">
        <f>F116/F118</f>
        <v>0.44973689618649015</v>
      </c>
      <c r="H116" s="47">
        <f>H76</f>
        <v>0.115</v>
      </c>
      <c r="I116" s="52">
        <f t="shared" si="22"/>
        <v>5.1719743061446367E-2</v>
      </c>
      <c r="J116" s="51">
        <f>+I116*1.63024</f>
        <v>8.4315593928492319E-2</v>
      </c>
      <c r="K116" s="4"/>
      <c r="L116" s="12"/>
      <c r="M116" s="12"/>
      <c r="N116" s="29"/>
      <c r="O116" s="29"/>
      <c r="P116" s="29"/>
      <c r="Q116" s="151"/>
      <c r="R116" s="29"/>
      <c r="S116" s="29"/>
    </row>
    <row r="117" spans="1:19">
      <c r="A117" s="69"/>
      <c r="B117" s="12"/>
      <c r="C117" s="12"/>
      <c r="D117" s="12"/>
      <c r="E117" s="28"/>
      <c r="F117" s="72"/>
      <c r="G117" s="73"/>
      <c r="H117" s="74"/>
      <c r="I117" s="74"/>
      <c r="J117" s="74"/>
      <c r="K117" s="4"/>
      <c r="L117" s="12"/>
      <c r="M117" s="12"/>
      <c r="N117" s="29"/>
      <c r="O117" s="29"/>
      <c r="P117" s="29"/>
      <c r="Q117" s="151"/>
      <c r="R117" s="29"/>
      <c r="S117" s="29"/>
    </row>
    <row r="118" spans="1:19" ht="13.5" thickBot="1">
      <c r="A118" s="29"/>
      <c r="B118" s="75" t="s">
        <v>9</v>
      </c>
      <c r="C118" s="75"/>
      <c r="D118" s="76">
        <f>SUM(D111:D117)</f>
        <v>32584.952883790174</v>
      </c>
      <c r="E118" s="148">
        <f>SUM(E111:E117)</f>
        <v>0</v>
      </c>
      <c r="F118" s="77">
        <f>SUM(F111:F116)</f>
        <v>32584.952883790174</v>
      </c>
      <c r="G118" s="64">
        <f>SUM(G111:G116)</f>
        <v>1</v>
      </c>
      <c r="H118" s="64"/>
      <c r="I118" s="64">
        <f>SUM(I111:I116)</f>
        <v>6.5325586043103109E-2</v>
      </c>
      <c r="J118" s="64">
        <f>SUM(J111:J117)</f>
        <v>9.7940102486874042E-2</v>
      </c>
      <c r="K118" s="4"/>
      <c r="L118" s="12"/>
      <c r="M118" s="12"/>
      <c r="N118" s="29"/>
      <c r="O118" s="29"/>
      <c r="P118" s="29"/>
      <c r="Q118" s="151"/>
      <c r="R118" s="29"/>
      <c r="S118" s="29"/>
    </row>
    <row r="119" spans="1:19" ht="13.5" thickTop="1">
      <c r="A119" s="29"/>
      <c r="B119" s="75"/>
      <c r="C119" s="75"/>
      <c r="D119" s="75"/>
      <c r="E119" s="12"/>
      <c r="F119" s="12"/>
      <c r="G119" s="33"/>
      <c r="H119" s="33"/>
      <c r="I119" s="33"/>
      <c r="J119" s="33"/>
      <c r="K119" s="4"/>
      <c r="L119" s="12"/>
      <c r="M119" s="12"/>
      <c r="N119" s="29"/>
      <c r="O119" s="29"/>
      <c r="P119" s="29"/>
      <c r="Q119" s="151"/>
      <c r="R119" s="29"/>
      <c r="S119" s="29"/>
    </row>
    <row r="120" spans="1:19">
      <c r="A120" s="69"/>
      <c r="B120" s="38" t="s">
        <v>13</v>
      </c>
      <c r="C120" s="38"/>
      <c r="D120" s="38"/>
      <c r="E120" s="12"/>
      <c r="F120" s="12"/>
      <c r="G120" s="33"/>
      <c r="H120" s="33"/>
      <c r="I120" s="33"/>
      <c r="J120" s="33">
        <f>J118-J78</f>
        <v>-4.0549078630815194E-4</v>
      </c>
      <c r="K120" s="4"/>
      <c r="L120" s="12"/>
      <c r="M120" s="12"/>
      <c r="N120" s="29"/>
      <c r="O120" s="29"/>
      <c r="P120" s="29"/>
      <c r="Q120" s="151"/>
      <c r="R120" s="29"/>
      <c r="S120" s="29"/>
    </row>
    <row r="121" spans="1:19">
      <c r="A121" s="78"/>
      <c r="B121" s="29" t="s">
        <v>12</v>
      </c>
      <c r="C121" s="29"/>
      <c r="D121" s="29"/>
      <c r="E121" s="29"/>
      <c r="F121" s="29"/>
      <c r="G121" s="29"/>
      <c r="H121" s="29"/>
      <c r="I121" s="68"/>
      <c r="J121" s="65">
        <f>'Exh. LK-27 - Page 1'!$D$25</f>
        <v>32025.420553638072</v>
      </c>
      <c r="K121" s="4"/>
      <c r="L121" s="12"/>
      <c r="M121" s="12"/>
      <c r="N121" s="29"/>
      <c r="O121" s="29"/>
      <c r="P121" s="29"/>
      <c r="Q121" s="151"/>
      <c r="R121" s="29"/>
      <c r="S121" s="29"/>
    </row>
    <row r="122" spans="1:19">
      <c r="A122" s="78"/>
      <c r="B122" s="12"/>
      <c r="C122" s="12"/>
      <c r="D122" s="12"/>
      <c r="E122" s="12"/>
      <c r="F122" s="12"/>
      <c r="G122" s="12"/>
      <c r="H122" s="39"/>
      <c r="I122" s="33"/>
      <c r="J122" s="33"/>
      <c r="K122" s="4"/>
      <c r="L122" s="12"/>
      <c r="M122" s="12"/>
      <c r="N122" s="29"/>
      <c r="O122" s="29"/>
      <c r="P122" s="29"/>
      <c r="Q122" s="151"/>
      <c r="R122" s="29"/>
      <c r="S122" s="29"/>
    </row>
    <row r="123" spans="1:19" ht="13.5" thickBot="1">
      <c r="A123" s="29"/>
      <c r="B123" s="12" t="s">
        <v>14</v>
      </c>
      <c r="C123" s="12"/>
      <c r="D123" s="12"/>
      <c r="E123" s="12"/>
      <c r="F123" s="12"/>
      <c r="G123" s="39"/>
      <c r="H123" s="39"/>
      <c r="I123" s="79"/>
      <c r="J123" s="80">
        <f>J121*J120</f>
        <v>-12.986012962143953</v>
      </c>
      <c r="K123" s="4"/>
      <c r="L123" s="12"/>
      <c r="M123" s="12"/>
      <c r="N123" s="29"/>
      <c r="O123" s="29"/>
      <c r="P123" s="29"/>
      <c r="Q123" s="151"/>
      <c r="R123" s="29"/>
      <c r="S123" s="29"/>
    </row>
    <row r="124" spans="1:19" ht="13.5" thickTop="1">
      <c r="B124" s="7"/>
      <c r="C124" s="7"/>
      <c r="D124" s="7"/>
      <c r="E124" s="4"/>
      <c r="F124" s="35"/>
      <c r="G124" s="36"/>
      <c r="H124" s="36"/>
      <c r="I124" s="36"/>
      <c r="J124" s="36"/>
      <c r="K124" s="4"/>
      <c r="L124" s="12"/>
      <c r="M124" s="12"/>
      <c r="N124" s="29"/>
      <c r="O124" s="29"/>
      <c r="P124" s="29"/>
      <c r="Q124" s="151"/>
      <c r="R124" s="29"/>
      <c r="S124" s="29"/>
    </row>
    <row r="125" spans="1:19">
      <c r="A125" s="67" t="s">
        <v>580</v>
      </c>
      <c r="B125" s="29"/>
      <c r="C125" s="29"/>
      <c r="D125" s="29"/>
      <c r="E125" s="29"/>
      <c r="F125" s="29"/>
      <c r="G125" s="29"/>
      <c r="H125" s="29"/>
      <c r="I125" s="68"/>
      <c r="J125" s="68"/>
      <c r="K125" s="4"/>
      <c r="L125" s="12"/>
      <c r="M125" s="12"/>
      <c r="N125" s="29"/>
      <c r="O125" s="29"/>
      <c r="P125" s="29"/>
      <c r="Q125" s="151"/>
      <c r="R125" s="29"/>
      <c r="S125" s="29"/>
    </row>
    <row r="126" spans="1:19">
      <c r="A126" s="69"/>
      <c r="B126" s="12"/>
      <c r="C126" s="12"/>
      <c r="D126" s="39" t="s">
        <v>20</v>
      </c>
      <c r="E126" s="12"/>
      <c r="F126" s="39" t="s">
        <v>20</v>
      </c>
      <c r="G126" s="12"/>
      <c r="H126" s="39"/>
      <c r="I126" s="12"/>
      <c r="J126" s="62" t="s">
        <v>37</v>
      </c>
      <c r="K126" s="4"/>
      <c r="L126" s="12"/>
      <c r="M126" s="12"/>
      <c r="N126" s="29"/>
      <c r="O126" s="29"/>
      <c r="P126" s="29"/>
      <c r="Q126" s="151"/>
      <c r="R126" s="29"/>
      <c r="S126" s="29"/>
    </row>
    <row r="127" spans="1:19">
      <c r="A127" s="69"/>
      <c r="B127" s="12"/>
      <c r="C127" s="12"/>
      <c r="D127" s="39" t="s">
        <v>27</v>
      </c>
      <c r="E127" s="39" t="s">
        <v>20</v>
      </c>
      <c r="F127" s="40" t="s">
        <v>25</v>
      </c>
      <c r="G127" s="40" t="s">
        <v>0</v>
      </c>
      <c r="H127" s="40" t="s">
        <v>5</v>
      </c>
      <c r="I127" s="40" t="s">
        <v>1</v>
      </c>
      <c r="J127" s="40" t="s">
        <v>2</v>
      </c>
      <c r="K127" s="4"/>
      <c r="L127" s="12"/>
      <c r="M127" s="12"/>
      <c r="N127" s="29"/>
      <c r="O127" s="29"/>
      <c r="P127" s="29"/>
      <c r="Q127" s="151"/>
      <c r="R127" s="29"/>
      <c r="S127" s="29"/>
    </row>
    <row r="128" spans="1:19">
      <c r="A128" s="69"/>
      <c r="B128" s="12"/>
      <c r="C128" s="12"/>
      <c r="D128" s="60" t="s">
        <v>28</v>
      </c>
      <c r="E128" s="60" t="s">
        <v>28</v>
      </c>
      <c r="F128" s="60" t="s">
        <v>0</v>
      </c>
      <c r="G128" s="60" t="s">
        <v>3</v>
      </c>
      <c r="H128" s="60" t="s">
        <v>24</v>
      </c>
      <c r="I128" s="60" t="s">
        <v>4</v>
      </c>
      <c r="J128" s="63" t="s">
        <v>5</v>
      </c>
      <c r="K128" s="4"/>
      <c r="L128" s="12"/>
      <c r="M128" s="12"/>
      <c r="N128" s="29"/>
      <c r="O128" s="29"/>
      <c r="P128" s="29"/>
      <c r="Q128" s="151"/>
      <c r="R128" s="29"/>
      <c r="S128" s="29"/>
    </row>
    <row r="129" spans="1:19">
      <c r="A129" s="69"/>
      <c r="B129" s="12"/>
      <c r="C129" s="12"/>
      <c r="D129" s="12"/>
      <c r="E129" s="12"/>
      <c r="F129" s="12"/>
      <c r="G129" s="12"/>
      <c r="H129" s="12"/>
      <c r="I129" s="12"/>
      <c r="J129" s="12"/>
      <c r="K129" s="4"/>
      <c r="L129" s="12"/>
      <c r="M129" s="12"/>
      <c r="N129" s="29"/>
      <c r="O129" s="29"/>
      <c r="P129" s="29"/>
      <c r="Q129" s="151"/>
      <c r="R129" s="29"/>
      <c r="S129" s="29"/>
    </row>
    <row r="130" spans="1:19">
      <c r="A130" s="69"/>
      <c r="B130" s="12" t="s">
        <v>7</v>
      </c>
      <c r="C130" s="12"/>
      <c r="D130" s="70">
        <f>F111</f>
        <v>9340.6221403946893</v>
      </c>
      <c r="E130" s="12"/>
      <c r="F130" s="28">
        <f t="shared" ref="F130:F135" si="25">D130+E130</f>
        <v>9340.6221403946893</v>
      </c>
      <c r="G130" s="47">
        <f>F130/F137</f>
        <v>0.28665446206740747</v>
      </c>
      <c r="H130" s="47">
        <f>H111</f>
        <v>4.5199999999999997E-2</v>
      </c>
      <c r="I130" s="47">
        <f t="shared" ref="I130:I135" si="26">G130*H130</f>
        <v>1.2956781685446816E-2</v>
      </c>
      <c r="J130" s="33">
        <f t="shared" ref="J130:J134" si="27">+I130*1/(1-(0.00072+0.00065))</f>
        <v>1.2974556828301589E-2</v>
      </c>
      <c r="K130" s="4"/>
      <c r="L130" s="12"/>
      <c r="M130" s="12"/>
      <c r="N130" s="29"/>
      <c r="O130" s="29"/>
      <c r="P130" s="29"/>
      <c r="Q130" s="151"/>
      <c r="R130" s="29"/>
      <c r="S130" s="29"/>
    </row>
    <row r="131" spans="1:19">
      <c r="A131" s="69"/>
      <c r="B131" s="12" t="s">
        <v>21</v>
      </c>
      <c r="C131" s="12"/>
      <c r="D131" s="70">
        <f t="shared" ref="D131:D135" si="28">F112</f>
        <v>407.32832999999999</v>
      </c>
      <c r="E131" s="12"/>
      <c r="F131" s="28">
        <f t="shared" si="25"/>
        <v>407.32832999999999</v>
      </c>
      <c r="G131" s="47">
        <f>F131/F137</f>
        <v>1.2500503881428995E-2</v>
      </c>
      <c r="H131" s="47">
        <f t="shared" ref="H131:H134" si="29">H112</f>
        <v>2.0500000000000001E-2</v>
      </c>
      <c r="I131" s="47">
        <f t="shared" si="26"/>
        <v>2.562603295692944E-4</v>
      </c>
      <c r="J131" s="33">
        <f t="shared" si="27"/>
        <v>2.5661188785565663E-4</v>
      </c>
      <c r="K131" s="4"/>
      <c r="L131" s="12"/>
      <c r="M131" s="12"/>
      <c r="N131" s="29"/>
      <c r="O131" s="29"/>
      <c r="P131" s="29"/>
      <c r="Q131" s="151"/>
      <c r="R131" s="29"/>
      <c r="S131" s="29"/>
    </row>
    <row r="132" spans="1:19">
      <c r="A132" s="69"/>
      <c r="B132" s="12" t="s">
        <v>6</v>
      </c>
      <c r="C132" s="12"/>
      <c r="D132" s="70">
        <f t="shared" si="28"/>
        <v>611.77370726649701</v>
      </c>
      <c r="E132" s="12"/>
      <c r="F132" s="28">
        <f t="shared" si="25"/>
        <v>611.77370726649701</v>
      </c>
      <c r="G132" s="47">
        <f>F132/F137</f>
        <v>1.8774730454523141E-2</v>
      </c>
      <c r="H132" s="47">
        <f t="shared" si="29"/>
        <v>5.5999999999999999E-3</v>
      </c>
      <c r="I132" s="47">
        <f t="shared" si="26"/>
        <v>1.0513849054532959E-4</v>
      </c>
      <c r="J132" s="33">
        <f t="shared" si="27"/>
        <v>1.0528272788252865E-4</v>
      </c>
      <c r="K132" s="4"/>
      <c r="L132" s="12"/>
      <c r="M132" s="12"/>
      <c r="N132" s="29"/>
      <c r="O132" s="29"/>
      <c r="P132" s="29"/>
      <c r="Q132" s="151"/>
      <c r="R132" s="29"/>
      <c r="S132" s="29"/>
    </row>
    <row r="133" spans="1:19">
      <c r="A133" s="69"/>
      <c r="B133" s="12" t="s">
        <v>22</v>
      </c>
      <c r="C133" s="12"/>
      <c r="D133" s="70">
        <f t="shared" si="28"/>
        <v>7464.2979837901748</v>
      </c>
      <c r="E133" s="12"/>
      <c r="F133" s="28">
        <f t="shared" si="25"/>
        <v>7464.2979837901748</v>
      </c>
      <c r="G133" s="47">
        <f>F133/F137</f>
        <v>0.22907192808934185</v>
      </c>
      <c r="H133" s="47">
        <f t="shared" si="29"/>
        <v>0</v>
      </c>
      <c r="I133" s="47">
        <f t="shared" si="26"/>
        <v>0</v>
      </c>
      <c r="J133" s="33">
        <f t="shared" si="27"/>
        <v>0</v>
      </c>
      <c r="K133" s="4"/>
      <c r="L133" s="12"/>
      <c r="M133" s="12"/>
      <c r="N133" s="29"/>
      <c r="O133" s="29"/>
      <c r="P133" s="29"/>
      <c r="Q133" s="151"/>
      <c r="R133" s="29"/>
      <c r="S133" s="29"/>
    </row>
    <row r="134" spans="1:19">
      <c r="A134" s="69"/>
      <c r="B134" s="12" t="s">
        <v>23</v>
      </c>
      <c r="C134" s="12"/>
      <c r="D134" s="70">
        <f t="shared" si="28"/>
        <v>106.27515</v>
      </c>
      <c r="E134" s="12"/>
      <c r="F134" s="28">
        <f t="shared" si="25"/>
        <v>106.27515</v>
      </c>
      <c r="G134" s="48">
        <f>F134/F137</f>
        <v>3.2614793208084708E-3</v>
      </c>
      <c r="H134" s="47">
        <f t="shared" si="29"/>
        <v>8.8200000000000001E-2</v>
      </c>
      <c r="I134" s="49">
        <f t="shared" si="26"/>
        <v>2.8766247609530711E-4</v>
      </c>
      <c r="J134" s="33">
        <f t="shared" si="27"/>
        <v>2.8805711434195559E-4</v>
      </c>
      <c r="K134" s="4"/>
      <c r="L134" s="12"/>
      <c r="M134" s="12"/>
      <c r="N134" s="29"/>
      <c r="O134" s="29"/>
      <c r="P134" s="29"/>
      <c r="Q134" s="151"/>
      <c r="R134" s="29"/>
      <c r="S134" s="29"/>
    </row>
    <row r="135" spans="1:19">
      <c r="A135" s="69"/>
      <c r="B135" s="12" t="s">
        <v>8</v>
      </c>
      <c r="C135" s="12"/>
      <c r="D135" s="71">
        <f t="shared" si="28"/>
        <v>14654.655572338814</v>
      </c>
      <c r="E135" s="61"/>
      <c r="F135" s="50">
        <f t="shared" si="25"/>
        <v>14654.655572338814</v>
      </c>
      <c r="G135" s="51">
        <f>F135/F137</f>
        <v>0.44973689618649015</v>
      </c>
      <c r="H135" s="52">
        <v>0.11</v>
      </c>
      <c r="I135" s="52">
        <f t="shared" si="26"/>
        <v>4.947105858051392E-2</v>
      </c>
      <c r="J135" s="51">
        <f>+I135*1.63024</f>
        <v>8.0649698540297007E-2</v>
      </c>
      <c r="K135" s="4"/>
      <c r="L135" s="12"/>
      <c r="M135" s="12"/>
      <c r="N135" s="29"/>
      <c r="O135" s="29"/>
      <c r="P135" s="29"/>
      <c r="Q135" s="151"/>
      <c r="R135" s="29"/>
      <c r="S135" s="29"/>
    </row>
    <row r="136" spans="1:19">
      <c r="A136" s="69"/>
      <c r="B136" s="12"/>
      <c r="C136" s="12"/>
      <c r="D136" s="12"/>
      <c r="E136" s="12"/>
      <c r="F136" s="72"/>
      <c r="G136" s="12"/>
      <c r="H136" s="33"/>
      <c r="I136" s="33"/>
      <c r="J136" s="33"/>
      <c r="K136" s="4"/>
      <c r="L136" s="12"/>
      <c r="M136" s="12"/>
      <c r="N136" s="29"/>
      <c r="O136" s="29"/>
      <c r="P136" s="29"/>
      <c r="Q136" s="151"/>
      <c r="R136" s="29"/>
      <c r="S136" s="29"/>
    </row>
    <row r="137" spans="1:19" ht="13.5" thickBot="1">
      <c r="A137" s="69"/>
      <c r="B137" s="75" t="s">
        <v>9</v>
      </c>
      <c r="C137" s="75"/>
      <c r="D137" s="76">
        <f>SUM(D130:D136)</f>
        <v>32584.952883790174</v>
      </c>
      <c r="E137" s="76">
        <f>SUM(E130:E136)</f>
        <v>0</v>
      </c>
      <c r="F137" s="77">
        <f>SUM(F130:F135)</f>
        <v>32584.952883790174</v>
      </c>
      <c r="G137" s="64">
        <f>SUM(G130:G135)</f>
        <v>1</v>
      </c>
      <c r="H137" s="64"/>
      <c r="I137" s="64">
        <f>SUM(I130:I135)</f>
        <v>6.3076901562170662E-2</v>
      </c>
      <c r="J137" s="64">
        <f>SUM(J130:J136)</f>
        <v>9.4274207098678731E-2</v>
      </c>
      <c r="K137" s="4"/>
      <c r="L137" s="12"/>
      <c r="M137" s="12"/>
      <c r="N137" s="29"/>
      <c r="O137" s="29"/>
      <c r="P137" s="29"/>
      <c r="Q137" s="151"/>
      <c r="R137" s="29"/>
      <c r="S137" s="29"/>
    </row>
    <row r="138" spans="1:19" ht="13.5" thickTop="1">
      <c r="A138" s="29"/>
      <c r="B138" s="75"/>
      <c r="C138" s="75"/>
      <c r="D138" s="75"/>
      <c r="E138" s="12"/>
      <c r="F138" s="12"/>
      <c r="G138" s="33"/>
      <c r="H138" s="33"/>
      <c r="I138" s="33"/>
      <c r="J138" s="33"/>
      <c r="K138" s="4"/>
      <c r="L138" s="12"/>
      <c r="M138" s="12"/>
      <c r="N138" s="29"/>
      <c r="O138" s="29"/>
      <c r="P138" s="29"/>
      <c r="Q138" s="151"/>
      <c r="R138" s="29"/>
      <c r="S138" s="29"/>
    </row>
    <row r="139" spans="1:19">
      <c r="A139" s="29"/>
      <c r="B139" s="38" t="s">
        <v>13</v>
      </c>
      <c r="C139" s="38"/>
      <c r="D139" s="38"/>
      <c r="E139" s="12"/>
      <c r="F139" s="12"/>
      <c r="G139" s="33"/>
      <c r="H139" s="33"/>
      <c r="I139" s="33"/>
      <c r="J139" s="33">
        <f>J137-J118</f>
        <v>-3.6658953881953116E-3</v>
      </c>
      <c r="K139" s="4"/>
      <c r="L139" s="12"/>
      <c r="M139" s="12"/>
      <c r="N139" s="29"/>
      <c r="O139" s="29"/>
      <c r="P139" s="29"/>
      <c r="Q139" s="151"/>
      <c r="R139" s="29"/>
      <c r="S139" s="29"/>
    </row>
    <row r="140" spans="1:19">
      <c r="A140" s="69"/>
      <c r="B140" s="29" t="s">
        <v>12</v>
      </c>
      <c r="C140" s="29"/>
      <c r="D140" s="29"/>
      <c r="E140" s="29"/>
      <c r="F140" s="29"/>
      <c r="G140" s="29"/>
      <c r="H140" s="29"/>
      <c r="I140" s="68"/>
      <c r="J140" s="65">
        <f>'Exh. LK-27 - Page 1'!$D$25</f>
        <v>32025.420553638072</v>
      </c>
      <c r="K140" s="4"/>
      <c r="L140" s="12"/>
      <c r="M140" s="12"/>
      <c r="N140" s="29"/>
      <c r="O140" s="29"/>
      <c r="P140" s="29"/>
      <c r="Q140" s="151"/>
      <c r="R140" s="29"/>
      <c r="S140" s="29"/>
    </row>
    <row r="141" spans="1:19">
      <c r="A141" s="78"/>
      <c r="B141" s="12"/>
      <c r="C141" s="12"/>
      <c r="D141" s="12"/>
      <c r="E141" s="12"/>
      <c r="F141" s="12"/>
      <c r="G141" s="12"/>
      <c r="H141" s="39"/>
      <c r="I141" s="33"/>
      <c r="J141" s="33"/>
      <c r="K141" s="4"/>
      <c r="L141" s="12"/>
      <c r="M141" s="12"/>
      <c r="N141" s="29"/>
      <c r="O141" s="29"/>
      <c r="P141" s="29"/>
      <c r="Q141" s="151"/>
      <c r="R141" s="29"/>
      <c r="S141" s="29"/>
    </row>
    <row r="142" spans="1:19" ht="13.5" thickBot="1">
      <c r="A142" s="78"/>
      <c r="B142" s="12" t="s">
        <v>14</v>
      </c>
      <c r="C142" s="12"/>
      <c r="D142" s="12"/>
      <c r="E142" s="12"/>
      <c r="F142" s="12"/>
      <c r="G142" s="39"/>
      <c r="H142" s="39"/>
      <c r="I142" s="79"/>
      <c r="J142" s="80">
        <f>J140*J139</f>
        <v>-117.40184151259714</v>
      </c>
      <c r="K142" s="4"/>
      <c r="L142" s="12"/>
      <c r="M142" s="12"/>
      <c r="N142" s="29"/>
      <c r="O142" s="29"/>
      <c r="P142" s="29"/>
      <c r="Q142" s="151"/>
      <c r="R142" s="29"/>
      <c r="S142" s="29"/>
    </row>
    <row r="143" spans="1:19" ht="13.5" thickTop="1">
      <c r="B143" s="7"/>
      <c r="C143" s="7"/>
      <c r="D143" s="7"/>
      <c r="E143" s="4"/>
      <c r="F143" s="35"/>
      <c r="G143" s="36"/>
      <c r="H143" s="36"/>
      <c r="I143" s="36"/>
      <c r="J143" s="36"/>
      <c r="K143" s="4"/>
      <c r="L143" s="12"/>
      <c r="M143" s="12"/>
      <c r="N143" s="29"/>
      <c r="O143" s="29"/>
      <c r="P143" s="29"/>
      <c r="Q143" s="151"/>
      <c r="R143" s="29"/>
      <c r="S143" s="29"/>
    </row>
    <row r="144" spans="1:19">
      <c r="A144" s="67" t="s">
        <v>581</v>
      </c>
      <c r="B144" s="29"/>
      <c r="C144" s="29"/>
      <c r="D144" s="29"/>
      <c r="E144" s="29"/>
      <c r="F144" s="29"/>
      <c r="G144" s="29"/>
      <c r="H144" s="29"/>
      <c r="I144" s="68"/>
      <c r="J144" s="68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1:19">
      <c r="A145" s="69"/>
      <c r="B145" s="12"/>
      <c r="C145" s="12"/>
      <c r="D145" s="39" t="s">
        <v>20</v>
      </c>
      <c r="E145" s="12"/>
      <c r="F145" s="39" t="s">
        <v>20</v>
      </c>
      <c r="G145" s="12"/>
      <c r="H145" s="39"/>
      <c r="I145" s="12"/>
      <c r="J145" s="62" t="s">
        <v>37</v>
      </c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1:19">
      <c r="A146" s="69"/>
      <c r="B146" s="12"/>
      <c r="C146" s="12"/>
      <c r="D146" s="39" t="s">
        <v>27</v>
      </c>
      <c r="E146" s="39" t="s">
        <v>20</v>
      </c>
      <c r="F146" s="40" t="s">
        <v>25</v>
      </c>
      <c r="G146" s="40" t="s">
        <v>0</v>
      </c>
      <c r="H146" s="40" t="s">
        <v>5</v>
      </c>
      <c r="I146" s="40" t="s">
        <v>1</v>
      </c>
      <c r="J146" s="40" t="s">
        <v>2</v>
      </c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:19">
      <c r="A147" s="69"/>
      <c r="B147" s="12"/>
      <c r="C147" s="12"/>
      <c r="D147" s="60" t="s">
        <v>28</v>
      </c>
      <c r="E147" s="60" t="s">
        <v>28</v>
      </c>
      <c r="F147" s="60" t="s">
        <v>0</v>
      </c>
      <c r="G147" s="60" t="s">
        <v>3</v>
      </c>
      <c r="H147" s="60" t="s">
        <v>24</v>
      </c>
      <c r="I147" s="60" t="s">
        <v>4</v>
      </c>
      <c r="J147" s="63" t="s">
        <v>5</v>
      </c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1:19">
      <c r="A148" s="69"/>
      <c r="B148" s="12"/>
      <c r="C148" s="12"/>
      <c r="D148" s="12"/>
      <c r="E148" s="12"/>
      <c r="F148" s="12"/>
      <c r="G148" s="12"/>
      <c r="H148" s="12"/>
      <c r="I148" s="12"/>
      <c r="J148" s="12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1:19">
      <c r="A149" s="69"/>
      <c r="B149" s="12" t="s">
        <v>7</v>
      </c>
      <c r="C149" s="12"/>
      <c r="D149" s="70">
        <f>F130</f>
        <v>9340.6221403946893</v>
      </c>
      <c r="E149" s="12"/>
      <c r="F149" s="28">
        <f t="shared" ref="F149:F154" si="30">D149+E149</f>
        <v>9340.6221403946893</v>
      </c>
      <c r="G149" s="47">
        <f>F149/F156</f>
        <v>0.28665446206740747</v>
      </c>
      <c r="H149" s="47">
        <f>H111</f>
        <v>4.5199999999999997E-2</v>
      </c>
      <c r="I149" s="47">
        <f t="shared" ref="I149:I154" si="31">G149*H149</f>
        <v>1.2956781685446816E-2</v>
      </c>
      <c r="J149" s="33">
        <f t="shared" ref="J149:J153" si="32">+I149*1/(1-(0.00072+0.00065))</f>
        <v>1.2974556828301589E-2</v>
      </c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:19">
      <c r="A150" s="69"/>
      <c r="B150" s="12" t="s">
        <v>21</v>
      </c>
      <c r="C150" s="12"/>
      <c r="D150" s="44">
        <f t="shared" ref="D150:D154" si="33">F131</f>
        <v>407.32832999999999</v>
      </c>
      <c r="E150" s="12"/>
      <c r="F150" s="28">
        <f t="shared" si="30"/>
        <v>407.32832999999999</v>
      </c>
      <c r="G150" s="47">
        <f>F150/F156</f>
        <v>1.2500503881428995E-2</v>
      </c>
      <c r="H150" s="47">
        <f>H112</f>
        <v>2.0500000000000001E-2</v>
      </c>
      <c r="I150" s="47">
        <f t="shared" si="31"/>
        <v>2.562603295692944E-4</v>
      </c>
      <c r="J150" s="33">
        <f t="shared" si="32"/>
        <v>2.5661188785565663E-4</v>
      </c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1:19">
      <c r="A151" s="69"/>
      <c r="B151" s="12" t="s">
        <v>6</v>
      </c>
      <c r="C151" s="12"/>
      <c r="D151" s="44">
        <f t="shared" si="33"/>
        <v>611.77370726649701</v>
      </c>
      <c r="E151" s="12"/>
      <c r="F151" s="28">
        <f t="shared" si="30"/>
        <v>611.77370726649701</v>
      </c>
      <c r="G151" s="47">
        <f>F151/F156</f>
        <v>1.8774730454523141E-2</v>
      </c>
      <c r="H151" s="47">
        <f>H113</f>
        <v>5.5999999999999999E-3</v>
      </c>
      <c r="I151" s="47">
        <f t="shared" si="31"/>
        <v>1.0513849054532959E-4</v>
      </c>
      <c r="J151" s="33">
        <f t="shared" si="32"/>
        <v>1.0528272788252865E-4</v>
      </c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1:19">
      <c r="A152" s="69"/>
      <c r="B152" s="12" t="s">
        <v>22</v>
      </c>
      <c r="C152" s="12"/>
      <c r="D152" s="44">
        <f t="shared" si="33"/>
        <v>7464.2979837901748</v>
      </c>
      <c r="E152" s="12"/>
      <c r="F152" s="28">
        <f t="shared" si="30"/>
        <v>7464.2979837901748</v>
      </c>
      <c r="G152" s="47">
        <f>F152/F156</f>
        <v>0.22907192808934185</v>
      </c>
      <c r="H152" s="47">
        <f>H114</f>
        <v>0</v>
      </c>
      <c r="I152" s="47">
        <f t="shared" si="31"/>
        <v>0</v>
      </c>
      <c r="J152" s="33">
        <f t="shared" si="32"/>
        <v>0</v>
      </c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1:19">
      <c r="A153" s="69"/>
      <c r="B153" s="12" t="s">
        <v>23</v>
      </c>
      <c r="C153" s="12"/>
      <c r="D153" s="44">
        <f t="shared" si="33"/>
        <v>106.27515</v>
      </c>
      <c r="E153" s="12"/>
      <c r="F153" s="28">
        <f t="shared" si="30"/>
        <v>106.27515</v>
      </c>
      <c r="G153" s="48">
        <f>F153/F156</f>
        <v>3.2614793208084708E-3</v>
      </c>
      <c r="H153" s="47">
        <f>H115</f>
        <v>8.8200000000000001E-2</v>
      </c>
      <c r="I153" s="49">
        <f t="shared" si="31"/>
        <v>2.8766247609530711E-4</v>
      </c>
      <c r="J153" s="33">
        <f t="shared" si="32"/>
        <v>2.8805711434195559E-4</v>
      </c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1:19">
      <c r="A154" s="69"/>
      <c r="B154" s="12" t="s">
        <v>8</v>
      </c>
      <c r="C154" s="12"/>
      <c r="D154" s="71">
        <f t="shared" si="33"/>
        <v>14654.655572338814</v>
      </c>
      <c r="E154" s="61"/>
      <c r="F154" s="50">
        <f t="shared" si="30"/>
        <v>14654.655572338814</v>
      </c>
      <c r="G154" s="51">
        <f>F154/F156</f>
        <v>0.44973689618649015</v>
      </c>
      <c r="H154" s="52">
        <v>0.09</v>
      </c>
      <c r="I154" s="52">
        <f t="shared" si="31"/>
        <v>4.0476320656784109E-2</v>
      </c>
      <c r="J154" s="51">
        <f>+I154*1.63024</f>
        <v>6.5986116987515719E-2</v>
      </c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1:19">
      <c r="A155" s="69"/>
      <c r="B155" s="12"/>
      <c r="C155" s="12"/>
      <c r="D155" s="12"/>
      <c r="E155" s="12"/>
      <c r="F155" s="72"/>
      <c r="G155" s="12"/>
      <c r="H155" s="33"/>
      <c r="I155" s="33"/>
      <c r="J155" s="33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1:19" ht="13.5" thickBot="1">
      <c r="A156" s="69"/>
      <c r="B156" s="75" t="s">
        <v>9</v>
      </c>
      <c r="C156" s="75"/>
      <c r="D156" s="76">
        <f>SUM(D149:D155)</f>
        <v>32584.952883790174</v>
      </c>
      <c r="E156" s="76">
        <f>SUM(E149:E155)</f>
        <v>0</v>
      </c>
      <c r="F156" s="77">
        <f>SUM(F149:F154)</f>
        <v>32584.952883790174</v>
      </c>
      <c r="G156" s="64">
        <f>SUM(G149:G154)</f>
        <v>1</v>
      </c>
      <c r="H156" s="64"/>
      <c r="I156" s="64">
        <f>SUM(I149:I154)</f>
        <v>5.4082163638440858E-2</v>
      </c>
      <c r="J156" s="64">
        <f>SUM(J149:J155)</f>
        <v>7.9610625545897457E-2</v>
      </c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1:19" ht="13.5" thickTop="1">
      <c r="A157" s="29"/>
      <c r="B157" s="75"/>
      <c r="C157" s="75"/>
      <c r="D157" s="75"/>
      <c r="E157" s="12"/>
      <c r="F157" s="12"/>
      <c r="G157" s="33"/>
      <c r="H157" s="33"/>
      <c r="I157" s="33"/>
      <c r="J157" s="33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:19">
      <c r="A158" s="29"/>
      <c r="B158" s="38" t="s">
        <v>13</v>
      </c>
      <c r="C158" s="38"/>
      <c r="D158" s="38"/>
      <c r="E158" s="12"/>
      <c r="F158" s="12"/>
      <c r="G158" s="33"/>
      <c r="H158" s="33"/>
      <c r="I158" s="33"/>
      <c r="J158" s="33">
        <f>J156-J137</f>
        <v>-1.4663581552781274E-2</v>
      </c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1:19">
      <c r="A159" s="69"/>
      <c r="B159" s="29" t="s">
        <v>12</v>
      </c>
      <c r="C159" s="29"/>
      <c r="D159" s="29"/>
      <c r="E159" s="29"/>
      <c r="F159" s="29"/>
      <c r="G159" s="29"/>
      <c r="H159" s="29"/>
      <c r="I159" s="68"/>
      <c r="J159" s="65">
        <f>'Exh. LK-27 - Page 1'!$D$25</f>
        <v>32025.420553638072</v>
      </c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1:19">
      <c r="A160" s="78"/>
      <c r="B160" s="12"/>
      <c r="C160" s="12"/>
      <c r="D160" s="12"/>
      <c r="E160" s="12"/>
      <c r="F160" s="12"/>
      <c r="G160" s="12"/>
      <c r="H160" s="39"/>
      <c r="I160" s="33"/>
      <c r="J160" s="33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1:19" ht="13.5" thickBot="1">
      <c r="A161" s="78"/>
      <c r="B161" s="12" t="s">
        <v>14</v>
      </c>
      <c r="C161" s="12"/>
      <c r="D161" s="12"/>
      <c r="E161" s="12"/>
      <c r="F161" s="12"/>
      <c r="G161" s="39"/>
      <c r="H161" s="39"/>
      <c r="I161" s="79"/>
      <c r="J161" s="80">
        <f>J159*J158</f>
        <v>-469.60736605038949</v>
      </c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:19" ht="14.25" thickTop="1" thickBot="1">
      <c r="A162" s="78"/>
      <c r="B162" s="12"/>
      <c r="C162" s="12"/>
      <c r="D162" s="12"/>
      <c r="E162" s="12"/>
      <c r="F162" s="91" t="s">
        <v>73</v>
      </c>
      <c r="G162" s="39"/>
      <c r="H162" s="92">
        <f>J161/2</f>
        <v>-234.80368302519474</v>
      </c>
      <c r="I162" s="79"/>
      <c r="J162" s="5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1:19" ht="13.5" thickTop="1">
      <c r="A163" s="78"/>
      <c r="B163" s="12"/>
      <c r="C163" s="12"/>
      <c r="D163" s="12"/>
      <c r="E163" s="12"/>
      <c r="F163" s="91"/>
      <c r="G163" s="39"/>
      <c r="H163" s="93"/>
      <c r="I163" s="79"/>
      <c r="J163" s="5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1:19">
      <c r="A164" s="67" t="s">
        <v>582</v>
      </c>
      <c r="B164" s="29"/>
      <c r="C164" s="29"/>
      <c r="D164" s="29"/>
      <c r="E164" s="29"/>
      <c r="F164" s="29"/>
      <c r="G164" s="29"/>
      <c r="H164" s="29"/>
      <c r="I164" s="68"/>
      <c r="J164" s="68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1:19">
      <c r="A165" s="69"/>
      <c r="B165" s="12"/>
      <c r="C165" s="12"/>
      <c r="D165" s="39" t="s">
        <v>20</v>
      </c>
      <c r="E165" s="12"/>
      <c r="F165" s="39" t="s">
        <v>20</v>
      </c>
      <c r="G165" s="12"/>
      <c r="H165" s="39"/>
      <c r="I165" s="12"/>
      <c r="J165" s="62" t="s">
        <v>37</v>
      </c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1:19">
      <c r="A166" s="69"/>
      <c r="B166" s="12"/>
      <c r="C166" s="12"/>
      <c r="D166" s="39" t="s">
        <v>27</v>
      </c>
      <c r="E166" s="39" t="s">
        <v>20</v>
      </c>
      <c r="F166" s="40" t="s">
        <v>25</v>
      </c>
      <c r="G166" s="40" t="s">
        <v>0</v>
      </c>
      <c r="H166" s="40" t="s">
        <v>5</v>
      </c>
      <c r="I166" s="40" t="s">
        <v>1</v>
      </c>
      <c r="J166" s="40" t="s">
        <v>2</v>
      </c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1:19">
      <c r="A167" s="69"/>
      <c r="B167" s="12"/>
      <c r="C167" s="12"/>
      <c r="D167" s="60" t="s">
        <v>28</v>
      </c>
      <c r="E167" s="60" t="s">
        <v>28</v>
      </c>
      <c r="F167" s="60" t="s">
        <v>0</v>
      </c>
      <c r="G167" s="60" t="s">
        <v>3</v>
      </c>
      <c r="H167" s="60" t="s">
        <v>24</v>
      </c>
      <c r="I167" s="60" t="s">
        <v>4</v>
      </c>
      <c r="J167" s="63" t="s">
        <v>5</v>
      </c>
      <c r="K167" s="29"/>
      <c r="L167" s="29"/>
      <c r="M167" s="29"/>
      <c r="N167" s="29"/>
      <c r="O167" s="29"/>
      <c r="P167" s="29"/>
      <c r="Q167" s="29"/>
      <c r="R167" s="29"/>
      <c r="S167" s="29"/>
    </row>
    <row r="168" spans="1:19">
      <c r="A168" s="69"/>
      <c r="B168" s="12"/>
      <c r="C168" s="12"/>
      <c r="D168" s="12"/>
      <c r="E168" s="12"/>
      <c r="F168" s="12"/>
      <c r="G168" s="12"/>
      <c r="H168" s="12"/>
      <c r="I168" s="12"/>
      <c r="J168" s="12"/>
      <c r="K168" s="29"/>
      <c r="L168" s="224" t="s">
        <v>368</v>
      </c>
      <c r="M168" s="99"/>
      <c r="N168" s="100"/>
      <c r="O168" s="100"/>
      <c r="P168" s="101" t="s">
        <v>80</v>
      </c>
      <c r="Q168" s="149"/>
      <c r="R168" s="100"/>
      <c r="S168" s="100"/>
    </row>
    <row r="169" spans="1:19">
      <c r="A169" s="69"/>
      <c r="B169" s="12" t="s">
        <v>7</v>
      </c>
      <c r="C169" s="12"/>
      <c r="D169" s="70">
        <f>F149</f>
        <v>9340.6221403946893</v>
      </c>
      <c r="E169" s="28">
        <v>502.19839999999999</v>
      </c>
      <c r="F169" s="28">
        <f t="shared" ref="F169:F174" si="34">D169+E169</f>
        <v>9842.8205403946886</v>
      </c>
      <c r="G169" s="47">
        <f>F169/F176</f>
        <v>0.30206643463618854</v>
      </c>
      <c r="H169" s="47">
        <f>H149</f>
        <v>4.5199999999999997E-2</v>
      </c>
      <c r="I169" s="47">
        <f t="shared" ref="I169:I174" si="35">G169*H169</f>
        <v>1.3653402845555721E-2</v>
      </c>
      <c r="J169" s="33">
        <f t="shared" ref="J169:J173" si="36">+I169*1/(1-(0.00072+0.00065))</f>
        <v>1.3672133668681814E-2</v>
      </c>
      <c r="K169" s="29"/>
      <c r="L169" s="99"/>
      <c r="M169" s="99"/>
      <c r="N169" s="100"/>
      <c r="O169" s="100"/>
      <c r="P169" s="100"/>
      <c r="Q169" s="149"/>
      <c r="R169" s="100"/>
      <c r="S169" s="100"/>
    </row>
    <row r="170" spans="1:19">
      <c r="A170" s="69"/>
      <c r="B170" s="12" t="s">
        <v>21</v>
      </c>
      <c r="C170" s="12"/>
      <c r="D170" s="70">
        <f t="shared" ref="D170:D174" si="37">F150</f>
        <v>407.32832999999999</v>
      </c>
      <c r="E170" s="28"/>
      <c r="F170" s="28">
        <f t="shared" si="34"/>
        <v>407.32832999999999</v>
      </c>
      <c r="G170" s="47">
        <f>F170/F176</f>
        <v>1.2500503881428995E-2</v>
      </c>
      <c r="H170" s="47">
        <f t="shared" ref="H170:H174" si="38">H150</f>
        <v>2.0500000000000001E-2</v>
      </c>
      <c r="I170" s="47">
        <f t="shared" si="35"/>
        <v>2.562603295692944E-4</v>
      </c>
      <c r="J170" s="33">
        <f t="shared" si="36"/>
        <v>2.5661188785565663E-4</v>
      </c>
      <c r="K170" s="29"/>
      <c r="L170" s="101" t="s">
        <v>76</v>
      </c>
      <c r="M170" s="102">
        <f>D171</f>
        <v>611.77370726649701</v>
      </c>
      <c r="N170" s="103">
        <f>M170/M173</f>
        <v>2.4861723447664377E-2</v>
      </c>
      <c r="O170" s="100"/>
      <c r="P170" s="149">
        <f>(M173*0.05)-M170</f>
        <v>618.57886373350311</v>
      </c>
      <c r="Q170" s="149">
        <f>M170+P170</f>
        <v>1230.3525710000001</v>
      </c>
      <c r="R170" s="103">
        <f>Q170/Q173</f>
        <v>0.05</v>
      </c>
      <c r="S170" s="100"/>
    </row>
    <row r="171" spans="1:19">
      <c r="A171" s="69"/>
      <c r="B171" s="12" t="s">
        <v>6</v>
      </c>
      <c r="C171" s="12"/>
      <c r="D171" s="70">
        <f t="shared" si="37"/>
        <v>611.77370726649701</v>
      </c>
      <c r="E171" s="28">
        <v>618.57899999999995</v>
      </c>
      <c r="F171" s="28">
        <f t="shared" si="34"/>
        <v>1230.352707266497</v>
      </c>
      <c r="G171" s="47">
        <f>F171/F176</f>
        <v>3.7758308617305156E-2</v>
      </c>
      <c r="H171" s="47">
        <f t="shared" si="38"/>
        <v>5.5999999999999999E-3</v>
      </c>
      <c r="I171" s="47">
        <f t="shared" si="35"/>
        <v>2.1144652825690887E-4</v>
      </c>
      <c r="J171" s="33">
        <f t="shared" si="36"/>
        <v>2.1173660740905927E-4</v>
      </c>
      <c r="K171" s="29"/>
      <c r="L171" s="101" t="s">
        <v>77</v>
      </c>
      <c r="M171" s="102">
        <f>D169</f>
        <v>9340.6221403946893</v>
      </c>
      <c r="N171" s="103">
        <f>M171/M173</f>
        <v>0.37959127979075397</v>
      </c>
      <c r="O171" s="100"/>
      <c r="P171" s="150">
        <f>-P172-P170</f>
        <v>502.19842760530946</v>
      </c>
      <c r="Q171" s="149">
        <f t="shared" ref="Q171:Q172" si="39">M171+P171</f>
        <v>9842.8205679999992</v>
      </c>
      <c r="R171" s="103">
        <f>Q171/Q173</f>
        <v>0.39999999999999997</v>
      </c>
      <c r="S171" s="100"/>
    </row>
    <row r="172" spans="1:19">
      <c r="A172" s="69"/>
      <c r="B172" s="12" t="s">
        <v>22</v>
      </c>
      <c r="C172" s="12"/>
      <c r="D172" s="70">
        <f t="shared" si="37"/>
        <v>7464.2979837901748</v>
      </c>
      <c r="E172" s="28"/>
      <c r="F172" s="28">
        <f t="shared" si="34"/>
        <v>7464.2979837901748</v>
      </c>
      <c r="G172" s="47">
        <f>F172/F176</f>
        <v>0.22907192808934185</v>
      </c>
      <c r="H172" s="47">
        <f t="shared" si="38"/>
        <v>0</v>
      </c>
      <c r="I172" s="47">
        <f t="shared" si="35"/>
        <v>0</v>
      </c>
      <c r="J172" s="33">
        <f t="shared" si="36"/>
        <v>0</v>
      </c>
      <c r="K172" s="29"/>
      <c r="L172" s="101" t="s">
        <v>78</v>
      </c>
      <c r="M172" s="102">
        <f>D174</f>
        <v>14654.655572338814</v>
      </c>
      <c r="N172" s="103">
        <f>M172/M173</f>
        <v>0.59554699676158163</v>
      </c>
      <c r="O172" s="100"/>
      <c r="P172" s="149">
        <f>(M173*0.55)-M172</f>
        <v>-1120.7772913388126</v>
      </c>
      <c r="Q172" s="149">
        <f t="shared" si="39"/>
        <v>13533.878281000001</v>
      </c>
      <c r="R172" s="103">
        <f>Q172/Q173</f>
        <v>0.55000000000000004</v>
      </c>
      <c r="S172" s="100"/>
    </row>
    <row r="173" spans="1:19">
      <c r="A173" s="69"/>
      <c r="B173" s="12" t="s">
        <v>23</v>
      </c>
      <c r="C173" s="12"/>
      <c r="D173" s="70">
        <f t="shared" si="37"/>
        <v>106.27515</v>
      </c>
      <c r="E173" s="28"/>
      <c r="F173" s="28">
        <f t="shared" si="34"/>
        <v>106.27515</v>
      </c>
      <c r="G173" s="48">
        <f>F173/F176</f>
        <v>3.2614793208084708E-3</v>
      </c>
      <c r="H173" s="47">
        <f t="shared" si="38"/>
        <v>8.8200000000000001E-2</v>
      </c>
      <c r="I173" s="49">
        <f t="shared" si="35"/>
        <v>2.8766247609530711E-4</v>
      </c>
      <c r="J173" s="33">
        <f t="shared" si="36"/>
        <v>2.8805711434195559E-4</v>
      </c>
      <c r="K173" s="29"/>
      <c r="L173" s="99"/>
      <c r="M173" s="102">
        <f>SUM(M170:M172)</f>
        <v>24607.05142</v>
      </c>
      <c r="N173" s="100"/>
      <c r="O173" s="100"/>
      <c r="P173" s="100"/>
      <c r="Q173" s="149">
        <f>SUM(Q170:Q172)</f>
        <v>24607.05142</v>
      </c>
      <c r="R173" s="100"/>
      <c r="S173" s="100"/>
    </row>
    <row r="174" spans="1:19">
      <c r="A174" s="69"/>
      <c r="B174" s="12" t="s">
        <v>8</v>
      </c>
      <c r="C174" s="12"/>
      <c r="D174" s="71">
        <f t="shared" si="37"/>
        <v>14654.655572338814</v>
      </c>
      <c r="E174" s="50">
        <v>-1120.7773999999999</v>
      </c>
      <c r="F174" s="50">
        <f t="shared" si="34"/>
        <v>13533.878172338813</v>
      </c>
      <c r="G174" s="51">
        <f>F174/F176</f>
        <v>0.41534134545492696</v>
      </c>
      <c r="H174" s="47">
        <f t="shared" si="38"/>
        <v>0.09</v>
      </c>
      <c r="I174" s="52">
        <f t="shared" si="35"/>
        <v>3.7380721090943425E-2</v>
      </c>
      <c r="J174" s="51">
        <f>+I174*1.63024</f>
        <v>6.0939546751299603E-2</v>
      </c>
      <c r="K174" s="29"/>
      <c r="L174" s="99"/>
      <c r="M174" s="99"/>
      <c r="N174" s="100"/>
      <c r="O174" s="100"/>
      <c r="P174" s="100"/>
      <c r="Q174" s="100"/>
      <c r="R174" s="100"/>
      <c r="S174" s="100"/>
    </row>
    <row r="175" spans="1:19">
      <c r="A175" s="69"/>
      <c r="B175" s="12"/>
      <c r="C175" s="12"/>
      <c r="D175" s="12"/>
      <c r="E175" s="28"/>
      <c r="F175" s="72"/>
      <c r="G175" s="73"/>
      <c r="H175" s="74"/>
      <c r="I175" s="74"/>
      <c r="J175" s="74"/>
      <c r="K175" s="29"/>
      <c r="L175" s="99"/>
      <c r="M175" s="99"/>
      <c r="N175" s="100"/>
      <c r="O175" s="100"/>
      <c r="P175" s="100"/>
      <c r="Q175" s="100"/>
      <c r="R175" s="100"/>
      <c r="S175" s="100"/>
    </row>
    <row r="176" spans="1:19" ht="13.5" thickBot="1">
      <c r="A176" s="29"/>
      <c r="B176" s="75" t="s">
        <v>9</v>
      </c>
      <c r="C176" s="75"/>
      <c r="D176" s="76">
        <f>SUM(D169:D175)</f>
        <v>32584.952883790174</v>
      </c>
      <c r="E176" s="148">
        <f>SUM(E169:E175)</f>
        <v>0</v>
      </c>
      <c r="F176" s="77">
        <f>SUM(F169:F174)</f>
        <v>32584.952883790174</v>
      </c>
      <c r="G176" s="64">
        <f>SUM(G169:G174)</f>
        <v>1</v>
      </c>
      <c r="H176" s="64"/>
      <c r="I176" s="64">
        <f>SUM(I169:I174)</f>
        <v>5.1789493270420657E-2</v>
      </c>
      <c r="J176" s="64">
        <f>SUM(J169:J175)</f>
        <v>7.5368086029588083E-2</v>
      </c>
      <c r="K176" s="29"/>
      <c r="L176" s="29"/>
      <c r="M176" s="29"/>
      <c r="N176" s="29"/>
      <c r="O176" s="29"/>
      <c r="P176" s="29"/>
      <c r="Q176" s="29"/>
      <c r="R176" s="29"/>
      <c r="S176" s="29"/>
    </row>
    <row r="177" spans="1:19" ht="13.5" thickTop="1">
      <c r="A177" s="29"/>
      <c r="B177" s="75"/>
      <c r="C177" s="75"/>
      <c r="D177" s="75"/>
      <c r="E177" s="12"/>
      <c r="F177" s="12"/>
      <c r="G177" s="33"/>
      <c r="H177" s="33"/>
      <c r="I177" s="33"/>
      <c r="J177" s="33"/>
      <c r="K177" s="29"/>
      <c r="L177" s="29"/>
      <c r="M177" s="29"/>
      <c r="N177" s="29"/>
      <c r="O177" s="29"/>
      <c r="P177" s="29"/>
      <c r="Q177" s="29"/>
      <c r="R177" s="29"/>
      <c r="S177" s="29"/>
    </row>
    <row r="178" spans="1:19">
      <c r="A178" s="69"/>
      <c r="B178" s="38" t="s">
        <v>13</v>
      </c>
      <c r="C178" s="38"/>
      <c r="D178" s="38"/>
      <c r="E178" s="12"/>
      <c r="F178" s="12"/>
      <c r="G178" s="33"/>
      <c r="H178" s="33"/>
      <c r="I178" s="33"/>
      <c r="J178" s="33">
        <f>J176-J156</f>
        <v>-4.2425395163093738E-3</v>
      </c>
      <c r="K178" s="29"/>
      <c r="L178" s="29"/>
      <c r="M178" s="29"/>
      <c r="N178" s="29"/>
      <c r="O178" s="29"/>
      <c r="P178" s="29"/>
      <c r="Q178" s="29"/>
      <c r="R178" s="29"/>
      <c r="S178" s="29"/>
    </row>
    <row r="179" spans="1:19">
      <c r="A179" s="78"/>
      <c r="B179" s="29" t="s">
        <v>12</v>
      </c>
      <c r="C179" s="29"/>
      <c r="D179" s="29"/>
      <c r="E179" s="29"/>
      <c r="F179" s="29"/>
      <c r="G179" s="29"/>
      <c r="H179" s="29"/>
      <c r="I179" s="68"/>
      <c r="J179" s="65">
        <f>'Exh. LK-27 - Page 1'!$D$25</f>
        <v>32025.420553638072</v>
      </c>
      <c r="K179" s="29"/>
      <c r="L179" s="29"/>
      <c r="M179" s="29"/>
      <c r="N179" s="29"/>
      <c r="O179" s="29"/>
      <c r="P179" s="29"/>
      <c r="Q179" s="29"/>
      <c r="R179" s="29"/>
      <c r="S179" s="29"/>
    </row>
    <row r="180" spans="1:19">
      <c r="A180" s="78"/>
      <c r="B180" s="12"/>
      <c r="C180" s="12"/>
      <c r="D180" s="12"/>
      <c r="E180" s="12"/>
      <c r="F180" s="12"/>
      <c r="G180" s="12"/>
      <c r="H180" s="39"/>
      <c r="I180" s="33"/>
      <c r="J180" s="33"/>
      <c r="K180" s="29"/>
      <c r="L180" s="29"/>
      <c r="M180" s="29"/>
      <c r="N180" s="29"/>
      <c r="O180" s="29"/>
      <c r="P180" s="29"/>
      <c r="Q180" s="29"/>
      <c r="R180" s="29"/>
      <c r="S180" s="29"/>
    </row>
    <row r="181" spans="1:19" ht="13.5" thickBot="1">
      <c r="A181" s="29"/>
      <c r="B181" s="12" t="s">
        <v>14</v>
      </c>
      <c r="C181" s="12"/>
      <c r="D181" s="12"/>
      <c r="E181" s="12"/>
      <c r="F181" s="12"/>
      <c r="G181" s="39"/>
      <c r="H181" s="39"/>
      <c r="I181" s="79"/>
      <c r="J181" s="80">
        <f>J179*J178</f>
        <v>-135.86911222523594</v>
      </c>
      <c r="K181" s="29"/>
      <c r="L181" s="29"/>
      <c r="M181" s="29"/>
      <c r="N181" s="29"/>
      <c r="O181" s="29"/>
      <c r="P181" s="29"/>
      <c r="Q181" s="29"/>
      <c r="R181" s="29"/>
      <c r="S181" s="29"/>
    </row>
    <row r="182" spans="1:19" ht="13.5" thickTop="1">
      <c r="B182" s="7"/>
      <c r="C182" s="7"/>
      <c r="D182" s="7"/>
      <c r="E182" s="4"/>
      <c r="F182" s="35"/>
      <c r="G182" s="36"/>
      <c r="H182" s="36"/>
      <c r="I182" s="36"/>
      <c r="J182" s="36"/>
      <c r="K182" s="29"/>
      <c r="L182" s="29"/>
      <c r="M182" s="29"/>
      <c r="N182" s="29"/>
      <c r="O182" s="29"/>
      <c r="P182" s="29"/>
      <c r="Q182" s="29"/>
      <c r="R182" s="29"/>
      <c r="S182" s="29"/>
    </row>
    <row r="183" spans="1:19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</row>
    <row r="184" spans="1:19">
      <c r="A184" s="62" t="s">
        <v>37</v>
      </c>
      <c r="B184" s="83" t="s">
        <v>42</v>
      </c>
      <c r="C184" s="83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</row>
    <row r="185" spans="1:19">
      <c r="A185" s="29"/>
      <c r="B185" s="83" t="s">
        <v>38</v>
      </c>
      <c r="C185" s="83"/>
      <c r="D185" s="83"/>
      <c r="E185" s="84">
        <v>0.35</v>
      </c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</row>
    <row r="186" spans="1:19">
      <c r="A186" s="29"/>
      <c r="B186" s="83" t="s">
        <v>39</v>
      </c>
      <c r="C186" s="83"/>
      <c r="D186" s="83"/>
      <c r="E186" s="84">
        <v>5.5E-2</v>
      </c>
      <c r="F186" s="29"/>
      <c r="G186" s="85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</row>
    <row r="187" spans="1:19">
      <c r="A187" s="29"/>
      <c r="B187" s="83" t="s">
        <v>40</v>
      </c>
      <c r="C187" s="83"/>
      <c r="D187" s="83"/>
      <c r="E187" s="84">
        <v>6.4999999999999997E-4</v>
      </c>
      <c r="F187" s="29"/>
      <c r="G187" s="29"/>
      <c r="H187" s="85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</row>
    <row r="188" spans="1:19">
      <c r="A188" s="29"/>
      <c r="B188" s="83" t="s">
        <v>41</v>
      </c>
      <c r="C188" s="83"/>
      <c r="D188" s="83"/>
      <c r="E188" s="84">
        <v>7.2000000000000005E-4</v>
      </c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</row>
    <row r="189" spans="1:1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</row>
    <row r="190" spans="1:19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</row>
    <row r="191" spans="1:19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</row>
    <row r="192" spans="1:19">
      <c r="A192" s="29"/>
      <c r="B192" s="29"/>
      <c r="C192" s="29"/>
      <c r="D192" s="29"/>
      <c r="E192" s="29"/>
      <c r="F192" s="29"/>
      <c r="G192" s="29"/>
      <c r="H192" s="29"/>
      <c r="I192" s="29"/>
      <c r="J192" s="151">
        <f>J181+J161+J142+J123+J83+J63+J39</f>
        <v>-750.55512715627685</v>
      </c>
      <c r="K192" s="29"/>
      <c r="L192" s="29"/>
      <c r="M192" s="29"/>
      <c r="N192" s="29"/>
      <c r="O192" s="29"/>
      <c r="P192" s="29"/>
      <c r="Q192" s="29"/>
      <c r="R192" s="29"/>
      <c r="S192" s="29"/>
    </row>
    <row r="193" spans="1:19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</row>
    <row r="194" spans="1:19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</row>
    <row r="195" spans="1:19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</row>
    <row r="196" spans="1:19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</row>
    <row r="197" spans="1:19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</row>
    <row r="198" spans="1:19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</row>
    <row r="199" spans="1:1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</row>
    <row r="200" spans="1:19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</row>
  </sheetData>
  <mergeCells count="4">
    <mergeCell ref="A1:J1"/>
    <mergeCell ref="A3:J3"/>
    <mergeCell ref="A4:J4"/>
    <mergeCell ref="A2:J2"/>
  </mergeCells>
  <phoneticPr fontId="29" type="noConversion"/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abSelected="1" view="pageLayout" zoomScaleNormal="100" workbookViewId="0">
      <selection activeCell="G9" sqref="G9"/>
    </sheetView>
  </sheetViews>
  <sheetFormatPr defaultRowHeight="12.75"/>
  <cols>
    <col min="1" max="1" width="5.85546875" customWidth="1"/>
    <col min="2" max="2" width="19.28515625" customWidth="1"/>
    <col min="3" max="3" width="3.140625" customWidth="1"/>
    <col min="4" max="4" width="14.5703125" customWidth="1"/>
    <col min="5" max="5" width="11.28515625" customWidth="1"/>
    <col min="6" max="6" width="16.42578125" customWidth="1"/>
    <col min="7" max="9" width="12.7109375" customWidth="1"/>
    <col min="10" max="10" width="15" customWidth="1"/>
    <col min="11" max="11" width="17.28515625" customWidth="1"/>
    <col min="12" max="12" width="11.85546875" customWidth="1"/>
    <col min="13" max="13" width="11" customWidth="1"/>
    <col min="14" max="14" width="9.85546875" bestFit="1" customWidth="1"/>
    <col min="16" max="16" width="11.42578125" customWidth="1"/>
    <col min="17" max="17" width="12.5703125" customWidth="1"/>
  </cols>
  <sheetData>
    <row r="1" spans="1:19">
      <c r="A1" s="377" t="s">
        <v>10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9">
      <c r="A2" s="376" t="s">
        <v>65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9">
      <c r="A3" s="376" t="s">
        <v>67</v>
      </c>
      <c r="B3" s="377"/>
      <c r="C3" s="377"/>
      <c r="D3" s="377"/>
      <c r="E3" s="377"/>
      <c r="F3" s="377"/>
      <c r="G3" s="377"/>
      <c r="H3" s="377"/>
      <c r="I3" s="377"/>
      <c r="J3" s="377"/>
    </row>
    <row r="4" spans="1:19">
      <c r="A4" s="377" t="s">
        <v>19</v>
      </c>
      <c r="B4" s="377"/>
      <c r="C4" s="377"/>
      <c r="D4" s="377"/>
      <c r="E4" s="377"/>
      <c r="F4" s="377"/>
      <c r="G4" s="377"/>
      <c r="H4" s="377"/>
      <c r="I4" s="377"/>
      <c r="J4" s="377"/>
    </row>
    <row r="6" spans="1:19" ht="4.5" customHeight="1"/>
    <row r="7" spans="1:19">
      <c r="A7" s="2" t="s">
        <v>11</v>
      </c>
    </row>
    <row r="8" spans="1:19">
      <c r="A8" s="3"/>
      <c r="B8" s="4"/>
      <c r="C8" s="4"/>
      <c r="D8" s="4"/>
      <c r="E8" s="4"/>
      <c r="F8" s="5" t="s">
        <v>20</v>
      </c>
      <c r="G8" s="4"/>
      <c r="H8" s="5"/>
      <c r="I8" s="4"/>
      <c r="J8" s="30" t="s">
        <v>37</v>
      </c>
      <c r="K8" s="4"/>
      <c r="L8" s="4"/>
      <c r="M8" s="4"/>
    </row>
    <row r="9" spans="1:19">
      <c r="A9" s="3"/>
      <c r="B9" s="4"/>
      <c r="C9" s="4"/>
      <c r="D9" s="4"/>
      <c r="E9" s="4"/>
      <c r="F9" s="19" t="s">
        <v>25</v>
      </c>
      <c r="G9" s="19" t="s">
        <v>0</v>
      </c>
      <c r="H9" s="19" t="s">
        <v>5</v>
      </c>
      <c r="I9" s="19" t="s">
        <v>1</v>
      </c>
      <c r="J9" s="19" t="s">
        <v>2</v>
      </c>
      <c r="K9" s="4"/>
      <c r="L9" s="155"/>
      <c r="M9" s="12"/>
      <c r="N9" s="29"/>
      <c r="O9" s="29"/>
      <c r="P9" s="152"/>
      <c r="Q9" s="29"/>
      <c r="R9" s="29"/>
      <c r="S9" s="29"/>
    </row>
    <row r="10" spans="1:19">
      <c r="A10" s="3"/>
      <c r="B10" s="4"/>
      <c r="C10" s="4"/>
      <c r="D10" s="4"/>
      <c r="E10" s="4"/>
      <c r="F10" s="20" t="s">
        <v>0</v>
      </c>
      <c r="G10" s="20" t="s">
        <v>3</v>
      </c>
      <c r="H10" s="20" t="s">
        <v>24</v>
      </c>
      <c r="I10" s="20" t="s">
        <v>4</v>
      </c>
      <c r="J10" s="21" t="s">
        <v>5</v>
      </c>
      <c r="K10" s="4"/>
      <c r="L10" s="12"/>
      <c r="M10" s="12"/>
      <c r="N10" s="29"/>
      <c r="O10" s="29"/>
      <c r="P10" s="29"/>
      <c r="Q10" s="29"/>
      <c r="R10" s="29"/>
      <c r="S10" s="29"/>
    </row>
    <row r="11" spans="1:19">
      <c r="B11" s="4"/>
      <c r="C11" s="4"/>
      <c r="D11" s="4"/>
      <c r="E11" s="4"/>
      <c r="F11" s="4"/>
      <c r="G11" s="4"/>
      <c r="H11" s="4"/>
      <c r="I11" s="4"/>
      <c r="J11" s="4"/>
      <c r="K11" s="4"/>
      <c r="L11" s="152"/>
      <c r="M11" s="70"/>
      <c r="N11" s="153"/>
      <c r="O11" s="29"/>
      <c r="P11" s="154"/>
      <c r="Q11" s="151"/>
      <c r="R11" s="153"/>
      <c r="S11" s="29"/>
    </row>
    <row r="12" spans="1:19">
      <c r="B12" s="4" t="s">
        <v>7</v>
      </c>
      <c r="C12" s="4"/>
      <c r="D12" s="4"/>
      <c r="E12" s="4"/>
      <c r="F12" s="95">
        <v>10024.107</v>
      </c>
      <c r="G12" s="47">
        <f>F12/F19</f>
        <v>0.2959504438279269</v>
      </c>
      <c r="H12" s="94">
        <v>4.87E-2</v>
      </c>
      <c r="I12" s="47">
        <f t="shared" ref="I12:I17" si="0">G12*H12</f>
        <v>1.4412786614420039E-2</v>
      </c>
      <c r="J12" s="33">
        <f>+I12*1/(1-(0.00072+0.00065))</f>
        <v>1.4432559220552196E-2</v>
      </c>
      <c r="K12" s="12" t="s">
        <v>45</v>
      </c>
      <c r="L12" s="155"/>
      <c r="M12" s="12"/>
      <c r="N12" s="29"/>
      <c r="O12" s="29"/>
      <c r="P12" s="152"/>
      <c r="Q12" s="151"/>
      <c r="R12" s="29"/>
      <c r="S12" s="29"/>
    </row>
    <row r="13" spans="1:19">
      <c r="B13" s="4" t="s">
        <v>21</v>
      </c>
      <c r="C13" s="4"/>
      <c r="D13" s="4"/>
      <c r="E13" s="4"/>
      <c r="F13" s="95">
        <v>386.36</v>
      </c>
      <c r="G13" s="47">
        <f>F13/F19</f>
        <v>1.1406842871625158E-2</v>
      </c>
      <c r="H13" s="94">
        <v>2.0400000000000001E-2</v>
      </c>
      <c r="I13" s="47">
        <f t="shared" si="0"/>
        <v>2.3269959458115325E-4</v>
      </c>
      <c r="J13" s="33">
        <f>+I13*1/(1-(0.00072+0.00065))</f>
        <v>2.3301883037877216E-4</v>
      </c>
      <c r="K13" s="12" t="s">
        <v>45</v>
      </c>
      <c r="L13" s="12"/>
      <c r="M13" s="12"/>
      <c r="N13" s="29"/>
      <c r="O13" s="29"/>
      <c r="P13" s="29"/>
      <c r="Q13" s="151"/>
      <c r="R13" s="29"/>
      <c r="S13" s="29"/>
    </row>
    <row r="14" spans="1:19">
      <c r="B14" s="4" t="s">
        <v>6</v>
      </c>
      <c r="C14" s="4"/>
      <c r="D14" s="4"/>
      <c r="E14" s="4"/>
      <c r="F14" s="95">
        <v>321.61099999999999</v>
      </c>
      <c r="G14" s="47">
        <f>F14/F19</f>
        <v>9.4952017361689574E-3</v>
      </c>
      <c r="H14" s="94">
        <v>2.6800000000000001E-2</v>
      </c>
      <c r="I14" s="47">
        <f t="shared" si="0"/>
        <v>2.5447140652932809E-4</v>
      </c>
      <c r="J14" s="33">
        <f>+I14*1/(1-(0.00072+0.00065))</f>
        <v>2.5482051062888965E-4</v>
      </c>
      <c r="K14" s="12" t="s">
        <v>45</v>
      </c>
      <c r="L14" s="152"/>
      <c r="M14" s="70"/>
      <c r="N14" s="153"/>
      <c r="O14" s="29"/>
      <c r="P14" s="151"/>
      <c r="Q14" s="151"/>
      <c r="R14" s="153"/>
      <c r="S14" s="29"/>
    </row>
    <row r="15" spans="1:19">
      <c r="B15" s="4" t="s">
        <v>22</v>
      </c>
      <c r="C15" s="4"/>
      <c r="D15" s="4"/>
      <c r="E15" s="4"/>
      <c r="F15" s="95">
        <v>7753.7380000000003</v>
      </c>
      <c r="G15" s="47">
        <f>F15/F19</f>
        <v>0.22892036192605111</v>
      </c>
      <c r="H15" s="94">
        <v>0</v>
      </c>
      <c r="I15" s="47">
        <f t="shared" si="0"/>
        <v>0</v>
      </c>
      <c r="J15" s="33">
        <f>+I15*1/(1-(0.00072+0.00065))</f>
        <v>0</v>
      </c>
      <c r="K15" s="12" t="s">
        <v>45</v>
      </c>
      <c r="L15" s="152"/>
      <c r="M15" s="70"/>
      <c r="N15" s="153"/>
      <c r="O15" s="29"/>
      <c r="P15" s="156"/>
      <c r="Q15" s="151"/>
      <c r="R15" s="153"/>
      <c r="S15" s="29"/>
    </row>
    <row r="16" spans="1:19">
      <c r="B16" s="4" t="s">
        <v>23</v>
      </c>
      <c r="C16" s="4"/>
      <c r="D16" s="4"/>
      <c r="E16" s="4"/>
      <c r="F16" s="96">
        <v>100.559</v>
      </c>
      <c r="G16" s="48">
        <f>F16/F19</f>
        <v>2.9688909626456005E-3</v>
      </c>
      <c r="H16" s="48">
        <v>8.8700000000000001E-2</v>
      </c>
      <c r="I16" s="49">
        <f t="shared" si="0"/>
        <v>2.6334062838666479E-4</v>
      </c>
      <c r="J16" s="33">
        <f>+I16*1/(1-(0.00072+0.00065))</f>
        <v>2.637018999896506E-4</v>
      </c>
      <c r="K16" s="12" t="s">
        <v>45</v>
      </c>
      <c r="L16" s="152"/>
      <c r="M16" s="70"/>
      <c r="N16" s="153"/>
      <c r="O16" s="29"/>
      <c r="P16" s="151"/>
      <c r="Q16" s="151"/>
      <c r="R16" s="153"/>
      <c r="S16" s="29"/>
    </row>
    <row r="17" spans="1:19">
      <c r="B17" s="4" t="s">
        <v>8</v>
      </c>
      <c r="C17" s="4"/>
      <c r="D17" s="4"/>
      <c r="E17" s="4"/>
      <c r="F17" s="97">
        <v>15284.522000000001</v>
      </c>
      <c r="G17" s="51">
        <f>F17/F19</f>
        <v>0.45125825867558211</v>
      </c>
      <c r="H17" s="51">
        <v>0.115</v>
      </c>
      <c r="I17" s="52">
        <f t="shared" si="0"/>
        <v>5.1894699747691946E-2</v>
      </c>
      <c r="J17" s="51">
        <f>+I17*1.63024</f>
        <v>8.4600815316677319E-2</v>
      </c>
      <c r="K17" s="12" t="s">
        <v>26</v>
      </c>
      <c r="L17" s="12"/>
      <c r="M17" s="70"/>
      <c r="N17" s="29"/>
      <c r="O17" s="29"/>
      <c r="P17" s="29"/>
      <c r="Q17" s="151"/>
      <c r="R17" s="29"/>
      <c r="S17" s="29"/>
    </row>
    <row r="18" spans="1:19">
      <c r="B18" s="4"/>
      <c r="C18" s="4"/>
      <c r="D18" s="4"/>
      <c r="E18" s="4"/>
      <c r="F18" s="18"/>
      <c r="G18" s="4"/>
      <c r="H18" s="6"/>
      <c r="I18" s="6"/>
      <c r="J18" s="6"/>
      <c r="K18" s="4"/>
      <c r="L18" s="12"/>
      <c r="M18" s="12"/>
      <c r="N18" s="29"/>
      <c r="O18" s="29"/>
      <c r="P18" s="29"/>
      <c r="Q18" s="29"/>
      <c r="R18" s="29"/>
      <c r="S18" s="29"/>
    </row>
    <row r="19" spans="1:19" ht="13.5" thickBot="1">
      <c r="B19" s="7" t="s">
        <v>9</v>
      </c>
      <c r="C19" s="7"/>
      <c r="D19" s="7"/>
      <c r="E19" s="4"/>
      <c r="F19" s="23">
        <f>SUM(F12:F17)</f>
        <v>33870.897000000004</v>
      </c>
      <c r="G19" s="24">
        <f>SUM(G12:G17)</f>
        <v>0.99999999999999989</v>
      </c>
      <c r="H19" s="24"/>
      <c r="I19" s="24">
        <f>SUM(I12:I17)</f>
        <v>6.7057997991609136E-2</v>
      </c>
      <c r="J19" s="24">
        <f>SUM(J12:J18)</f>
        <v>9.9784915778226832E-2</v>
      </c>
      <c r="K19" s="4"/>
      <c r="L19" s="155"/>
      <c r="M19" s="12"/>
      <c r="N19" s="29"/>
      <c r="O19" s="29"/>
      <c r="P19" s="152"/>
      <c r="Q19" s="151"/>
      <c r="R19" s="29"/>
      <c r="S19" s="29"/>
    </row>
    <row r="20" spans="1:19" ht="13.5" thickTop="1">
      <c r="B20" s="7"/>
      <c r="C20" s="7"/>
      <c r="D20" s="7"/>
      <c r="E20" s="4"/>
      <c r="F20" s="35"/>
      <c r="G20" s="36"/>
      <c r="H20" s="36"/>
      <c r="I20" s="36"/>
      <c r="J20" s="36"/>
      <c r="K20" s="4"/>
      <c r="L20" s="12"/>
      <c r="M20" s="12"/>
      <c r="N20" s="29"/>
      <c r="O20" s="29"/>
      <c r="P20" s="29"/>
      <c r="Q20" s="151"/>
      <c r="R20" s="29"/>
      <c r="S20" s="29"/>
    </row>
    <row r="21" spans="1:19">
      <c r="B21" s="7"/>
      <c r="C21" s="7"/>
      <c r="D21" s="7"/>
      <c r="E21" s="4"/>
      <c r="F21" s="35"/>
      <c r="G21" s="36"/>
      <c r="H21" s="36"/>
      <c r="I21" s="36"/>
      <c r="J21" s="36"/>
      <c r="K21" s="4"/>
      <c r="L21" s="152"/>
      <c r="M21" s="70"/>
      <c r="N21" s="153"/>
      <c r="O21" s="29"/>
      <c r="P21" s="151"/>
      <c r="Q21" s="151"/>
      <c r="R21" s="153"/>
      <c r="S21" s="29"/>
    </row>
    <row r="22" spans="1:19">
      <c r="A22" s="67" t="s">
        <v>281</v>
      </c>
      <c r="B22" s="29"/>
      <c r="C22" s="29"/>
      <c r="D22" s="29"/>
      <c r="E22" s="29"/>
      <c r="F22" s="29"/>
      <c r="G22" s="29"/>
      <c r="H22" s="29"/>
      <c r="I22" s="68"/>
      <c r="J22" s="68"/>
      <c r="K22" s="12"/>
      <c r="L22" s="152"/>
      <c r="M22" s="70"/>
      <c r="N22" s="153"/>
      <c r="O22" s="29"/>
      <c r="P22" s="156"/>
      <c r="Q22" s="151"/>
      <c r="R22" s="153"/>
      <c r="S22" s="29"/>
    </row>
    <row r="23" spans="1:19">
      <c r="A23" s="69"/>
      <c r="B23" s="12"/>
      <c r="C23" s="12"/>
      <c r="D23" s="39" t="s">
        <v>20</v>
      </c>
      <c r="E23" s="12"/>
      <c r="F23" s="39" t="s">
        <v>20</v>
      </c>
      <c r="G23" s="12"/>
      <c r="H23" s="39"/>
      <c r="I23" s="12"/>
      <c r="J23" s="62" t="s">
        <v>37</v>
      </c>
      <c r="K23" s="40"/>
      <c r="L23" s="152"/>
      <c r="M23" s="70"/>
      <c r="N23" s="153"/>
      <c r="O23" s="29"/>
      <c r="P23" s="151"/>
      <c r="Q23" s="151"/>
      <c r="R23" s="153"/>
      <c r="S23" s="29"/>
    </row>
    <row r="24" spans="1:19">
      <c r="A24" s="69"/>
      <c r="B24" s="12"/>
      <c r="C24" s="12"/>
      <c r="D24" s="39" t="s">
        <v>27</v>
      </c>
      <c r="E24" s="39" t="s">
        <v>20</v>
      </c>
      <c r="F24" s="40" t="s">
        <v>25</v>
      </c>
      <c r="G24" s="40" t="s">
        <v>0</v>
      </c>
      <c r="H24" s="40" t="s">
        <v>5</v>
      </c>
      <c r="I24" s="40" t="s">
        <v>1</v>
      </c>
      <c r="J24" s="40" t="s">
        <v>2</v>
      </c>
      <c r="K24" s="40"/>
      <c r="L24" s="12"/>
      <c r="M24" s="70"/>
      <c r="N24" s="29"/>
      <c r="O24" s="29"/>
      <c r="P24" s="29"/>
      <c r="Q24" s="151"/>
      <c r="R24" s="29"/>
      <c r="S24" s="29"/>
    </row>
    <row r="25" spans="1:19">
      <c r="A25" s="69"/>
      <c r="B25" s="12"/>
      <c r="C25" s="12"/>
      <c r="D25" s="60" t="s">
        <v>28</v>
      </c>
      <c r="E25" s="60" t="s">
        <v>28</v>
      </c>
      <c r="F25" s="60" t="s">
        <v>0</v>
      </c>
      <c r="G25" s="60" t="s">
        <v>3</v>
      </c>
      <c r="H25" s="60" t="s">
        <v>24</v>
      </c>
      <c r="I25" s="60" t="s">
        <v>4</v>
      </c>
      <c r="J25" s="63" t="s">
        <v>5</v>
      </c>
      <c r="K25" s="41"/>
      <c r="L25" s="12"/>
      <c r="M25" s="12"/>
      <c r="N25" s="29"/>
      <c r="O25" s="29"/>
      <c r="P25" s="29"/>
      <c r="Q25" s="29"/>
      <c r="R25" s="29"/>
      <c r="S25" s="29"/>
    </row>
    <row r="26" spans="1:19">
      <c r="A26" s="69"/>
      <c r="B26" s="12"/>
      <c r="C26" s="12"/>
      <c r="D26" s="12"/>
      <c r="E26" s="12"/>
      <c r="F26" s="12"/>
      <c r="G26" s="12"/>
      <c r="H26" s="12"/>
      <c r="I26" s="12"/>
      <c r="J26" s="12"/>
      <c r="K26" s="49"/>
      <c r="L26" s="48"/>
      <c r="M26" s="41"/>
      <c r="N26" s="41"/>
      <c r="O26" s="48"/>
      <c r="P26" s="41"/>
      <c r="Q26" s="41"/>
      <c r="R26" s="29"/>
      <c r="S26" s="29"/>
    </row>
    <row r="27" spans="1:19">
      <c r="A27" s="69"/>
      <c r="B27" s="12" t="s">
        <v>7</v>
      </c>
      <c r="C27" s="12"/>
      <c r="D27" s="70">
        <f t="shared" ref="D27:D32" si="1">F12</f>
        <v>10024.107</v>
      </c>
      <c r="E27" s="28"/>
      <c r="F27" s="28">
        <f t="shared" ref="F27:F32" si="2">D27+E27</f>
        <v>10024.107</v>
      </c>
      <c r="G27" s="47">
        <f>F27/F34</f>
        <v>0.29462884660956218</v>
      </c>
      <c r="H27" s="47">
        <f t="shared" ref="H27:H32" si="3">H12</f>
        <v>4.87E-2</v>
      </c>
      <c r="I27" s="47">
        <f t="shared" ref="I27:I32" si="4">G27*H27</f>
        <v>1.4348424829885678E-2</v>
      </c>
      <c r="J27" s="33">
        <f t="shared" ref="J27:J31" si="5">+I27*1/(1-(0.00072+0.00065))</f>
        <v>1.4368109139406665E-2</v>
      </c>
      <c r="K27" s="49"/>
      <c r="L27" s="48"/>
      <c r="M27" s="41"/>
      <c r="N27" s="41"/>
      <c r="O27" s="48"/>
      <c r="P27" s="41"/>
      <c r="Q27" s="41"/>
      <c r="R27" s="29"/>
    </row>
    <row r="28" spans="1:19">
      <c r="A28" s="69"/>
      <c r="B28" s="12" t="s">
        <v>21</v>
      </c>
      <c r="C28" s="12"/>
      <c r="D28" s="70">
        <f t="shared" si="1"/>
        <v>386.36</v>
      </c>
      <c r="E28" s="28"/>
      <c r="F28" s="28">
        <f t="shared" si="2"/>
        <v>386.36</v>
      </c>
      <c r="G28" s="47">
        <f>F28/F34</f>
        <v>1.1355904438776487E-2</v>
      </c>
      <c r="H28" s="47">
        <f t="shared" si="3"/>
        <v>2.0400000000000001E-2</v>
      </c>
      <c r="I28" s="47">
        <f t="shared" si="4"/>
        <v>2.3166045055104037E-4</v>
      </c>
      <c r="J28" s="33">
        <f t="shared" si="5"/>
        <v>2.3197826076829293E-4</v>
      </c>
      <c r="K28" s="49"/>
      <c r="L28" s="48"/>
      <c r="M28" s="41"/>
      <c r="N28" s="41"/>
      <c r="O28" s="48"/>
      <c r="P28" s="41"/>
      <c r="Q28" s="41"/>
      <c r="R28" s="29"/>
    </row>
    <row r="29" spans="1:19">
      <c r="A29" s="69"/>
      <c r="B29" s="12" t="s">
        <v>6</v>
      </c>
      <c r="C29" s="12"/>
      <c r="D29" s="70">
        <f t="shared" si="1"/>
        <v>321.61099999999999</v>
      </c>
      <c r="E29" s="28"/>
      <c r="F29" s="28">
        <f t="shared" si="2"/>
        <v>321.61099999999999</v>
      </c>
      <c r="G29" s="47">
        <f>F29/F34</f>
        <v>9.4527999338941526E-3</v>
      </c>
      <c r="H29" s="47">
        <f t="shared" si="3"/>
        <v>2.6800000000000001E-2</v>
      </c>
      <c r="I29" s="47">
        <f t="shared" si="4"/>
        <v>2.5333503822836328E-4</v>
      </c>
      <c r="J29" s="33">
        <f t="shared" si="5"/>
        <v>2.5368258336757688E-4</v>
      </c>
      <c r="K29" s="49"/>
      <c r="L29" s="48"/>
      <c r="M29" s="41"/>
      <c r="N29" s="41"/>
      <c r="O29" s="48"/>
      <c r="P29" s="41"/>
      <c r="Q29" s="41"/>
      <c r="R29" s="29"/>
    </row>
    <row r="30" spans="1:19">
      <c r="A30" s="69"/>
      <c r="B30" s="12" t="s">
        <v>22</v>
      </c>
      <c r="C30" s="12"/>
      <c r="D30" s="70">
        <f t="shared" si="1"/>
        <v>7753.7380000000003</v>
      </c>
      <c r="E30" s="28">
        <f>'ADIT Changes - Cap Struct'!E26</f>
        <v>151.93245255458362</v>
      </c>
      <c r="F30" s="28">
        <f t="shared" si="2"/>
        <v>7905.6704525545838</v>
      </c>
      <c r="G30" s="47">
        <f>F30/F34</f>
        <v>0.2323636975454724</v>
      </c>
      <c r="H30" s="47">
        <f t="shared" si="3"/>
        <v>0</v>
      </c>
      <c r="I30" s="47">
        <f t="shared" si="4"/>
        <v>0</v>
      </c>
      <c r="J30" s="33">
        <f t="shared" si="5"/>
        <v>0</v>
      </c>
      <c r="K30" s="49"/>
      <c r="L30" s="152"/>
      <c r="M30" s="12"/>
      <c r="N30" s="29"/>
      <c r="O30" s="29"/>
      <c r="P30" s="29"/>
      <c r="Q30" s="41"/>
      <c r="R30" s="29"/>
    </row>
    <row r="31" spans="1:19">
      <c r="A31" s="69"/>
      <c r="B31" s="12" t="s">
        <v>23</v>
      </c>
      <c r="C31" s="12"/>
      <c r="D31" s="70">
        <f t="shared" si="1"/>
        <v>100.559</v>
      </c>
      <c r="E31" s="28"/>
      <c r="F31" s="28">
        <f t="shared" si="2"/>
        <v>100.559</v>
      </c>
      <c r="G31" s="48">
        <f>F31/F34</f>
        <v>2.9556330739696777E-3</v>
      </c>
      <c r="H31" s="47">
        <f t="shared" si="3"/>
        <v>8.8700000000000001E-2</v>
      </c>
      <c r="I31" s="49">
        <f t="shared" si="4"/>
        <v>2.6216465366111043E-4</v>
      </c>
      <c r="J31" s="33">
        <f t="shared" si="5"/>
        <v>2.6252431196850727E-4</v>
      </c>
      <c r="K31" s="49"/>
      <c r="L31" s="48"/>
      <c r="M31" s="41"/>
      <c r="N31" s="41"/>
      <c r="O31" s="48"/>
      <c r="P31" s="41"/>
      <c r="Q31" s="41"/>
      <c r="R31" s="29"/>
    </row>
    <row r="32" spans="1:19">
      <c r="A32" s="69"/>
      <c r="B32" s="12" t="s">
        <v>8</v>
      </c>
      <c r="C32" s="12"/>
      <c r="D32" s="71">
        <f t="shared" si="1"/>
        <v>15284.522000000001</v>
      </c>
      <c r="E32" s="50"/>
      <c r="F32" s="50">
        <f t="shared" si="2"/>
        <v>15284.522000000001</v>
      </c>
      <c r="G32" s="51">
        <f>F32/F34</f>
        <v>0.44924311839832504</v>
      </c>
      <c r="H32" s="47">
        <f t="shared" si="3"/>
        <v>0.115</v>
      </c>
      <c r="I32" s="52">
        <f t="shared" si="4"/>
        <v>5.1662958615807379E-2</v>
      </c>
      <c r="J32" s="51">
        <f>+I32*1.63024</f>
        <v>8.4223021653833816E-2</v>
      </c>
      <c r="K32" s="48"/>
      <c r="L32" s="48"/>
      <c r="M32" s="41"/>
      <c r="N32" s="41"/>
      <c r="O32" s="48"/>
      <c r="P32" s="41"/>
      <c r="Q32" s="41"/>
      <c r="R32" s="29"/>
    </row>
    <row r="33" spans="1:19">
      <c r="A33" s="69"/>
      <c r="B33" s="12"/>
      <c r="C33" s="12"/>
      <c r="D33" s="12"/>
      <c r="E33" s="28"/>
      <c r="F33" s="72"/>
      <c r="G33" s="73"/>
      <c r="H33" s="74"/>
      <c r="I33" s="74"/>
      <c r="J33" s="74"/>
      <c r="K33" s="48"/>
      <c r="L33" s="48"/>
      <c r="M33" s="41"/>
      <c r="N33" s="41"/>
      <c r="O33" s="48"/>
      <c r="P33" s="41"/>
      <c r="Q33" s="41"/>
      <c r="R33" s="29"/>
    </row>
    <row r="34" spans="1:19" ht="13.5" thickBot="1">
      <c r="A34" s="29"/>
      <c r="B34" s="75" t="s">
        <v>9</v>
      </c>
      <c r="C34" s="75"/>
      <c r="D34" s="76">
        <f>SUM(D27:D33)</f>
        <v>33870.897000000004</v>
      </c>
      <c r="E34" s="148">
        <f>SUM(E27:E33)</f>
        <v>151.93245255458362</v>
      </c>
      <c r="F34" s="77">
        <f>SUM(F27:F32)</f>
        <v>34022.829452554586</v>
      </c>
      <c r="G34" s="64">
        <f>SUM(G27:G32)</f>
        <v>1</v>
      </c>
      <c r="H34" s="64"/>
      <c r="I34" s="64">
        <f>SUM(I27:I32)</f>
        <v>6.6758543588133573E-2</v>
      </c>
      <c r="J34" s="64">
        <f>SUM(J27:J33)</f>
        <v>9.9339315949344864E-2</v>
      </c>
      <c r="K34" s="48"/>
      <c r="L34" s="48"/>
      <c r="M34" s="41"/>
      <c r="N34" s="41"/>
      <c r="O34" s="48"/>
      <c r="P34" s="41"/>
      <c r="Q34" s="41"/>
      <c r="R34" s="29"/>
    </row>
    <row r="35" spans="1:19" ht="13.5" thickTop="1">
      <c r="A35" s="29"/>
      <c r="B35" s="75"/>
      <c r="C35" s="75"/>
      <c r="D35" s="75"/>
      <c r="E35" s="12"/>
      <c r="F35" s="12"/>
      <c r="G35" s="33"/>
      <c r="H35" s="33"/>
      <c r="I35" s="33"/>
      <c r="J35" s="33"/>
      <c r="K35" s="48"/>
      <c r="L35" s="48"/>
      <c r="M35" s="41"/>
      <c r="N35" s="41"/>
      <c r="O35" s="48"/>
      <c r="P35" s="41"/>
      <c r="Q35" s="41"/>
      <c r="R35" s="29"/>
    </row>
    <row r="36" spans="1:19">
      <c r="A36" s="69"/>
      <c r="B36" s="38" t="s">
        <v>13</v>
      </c>
      <c r="C36" s="38"/>
      <c r="D36" s="38"/>
      <c r="E36" s="12"/>
      <c r="F36" s="12"/>
      <c r="G36" s="33"/>
      <c r="H36" s="33"/>
      <c r="I36" s="33"/>
      <c r="J36" s="222">
        <f>J34-J19</f>
        <v>-4.4559982888196792E-4</v>
      </c>
      <c r="K36" s="81"/>
      <c r="L36" s="66"/>
      <c r="M36" s="41"/>
      <c r="N36" s="41"/>
      <c r="O36" s="66"/>
      <c r="P36" s="41"/>
      <c r="Q36" s="41"/>
      <c r="R36" s="29"/>
    </row>
    <row r="37" spans="1:19">
      <c r="A37" s="78"/>
      <c r="B37" s="29" t="s">
        <v>12</v>
      </c>
      <c r="C37" s="29"/>
      <c r="D37" s="29"/>
      <c r="E37" s="29"/>
      <c r="F37" s="29"/>
      <c r="G37" s="29"/>
      <c r="H37" s="29"/>
      <c r="I37" s="68"/>
      <c r="J37" s="65">
        <f>'Exh. LK-27 - Page 2'!D25</f>
        <v>33622.827068319071</v>
      </c>
      <c r="K37" s="41"/>
      <c r="L37" s="41"/>
      <c r="M37" s="42"/>
      <c r="N37" s="42"/>
      <c r="O37" s="41"/>
      <c r="P37" s="42"/>
      <c r="Q37" s="42"/>
      <c r="R37" s="29"/>
    </row>
    <row r="38" spans="1:19">
      <c r="A38" s="78"/>
      <c r="B38" s="12"/>
      <c r="C38" s="12"/>
      <c r="D38" s="12"/>
      <c r="E38" s="12"/>
      <c r="F38" s="12"/>
      <c r="G38" s="12"/>
      <c r="H38" s="39"/>
      <c r="I38" s="33"/>
      <c r="J38" s="33"/>
      <c r="K38" s="40"/>
      <c r="L38" s="82"/>
      <c r="M38" s="59"/>
      <c r="N38" s="41"/>
      <c r="O38" s="41"/>
      <c r="P38" s="42"/>
      <c r="Q38" s="42"/>
      <c r="R38" s="29"/>
    </row>
    <row r="39" spans="1:19" ht="13.5" thickBot="1">
      <c r="A39" s="29"/>
      <c r="B39" s="12" t="s">
        <v>14</v>
      </c>
      <c r="C39" s="12"/>
      <c r="D39" s="12"/>
      <c r="E39" s="12"/>
      <c r="F39" s="12"/>
      <c r="G39" s="39"/>
      <c r="H39" s="39"/>
      <c r="I39" s="79"/>
      <c r="J39" s="80">
        <f>J37*J36</f>
        <v>-14.982325988170977</v>
      </c>
      <c r="K39" s="12"/>
      <c r="L39" s="12"/>
      <c r="M39" s="12"/>
      <c r="N39" s="29"/>
      <c r="O39" s="29"/>
      <c r="P39" s="29"/>
      <c r="Q39" s="29"/>
      <c r="R39" s="29"/>
    </row>
    <row r="40" spans="1:19" ht="13.5" thickTop="1">
      <c r="A40" s="29"/>
      <c r="B40" s="12"/>
      <c r="C40" s="12"/>
      <c r="D40" s="12"/>
      <c r="E40" s="12"/>
      <c r="F40" s="12"/>
      <c r="G40" s="39"/>
      <c r="H40" s="39"/>
      <c r="I40" s="79"/>
      <c r="J40" s="59"/>
      <c r="K40" s="4"/>
      <c r="L40" s="4"/>
      <c r="M40" s="4"/>
    </row>
    <row r="41" spans="1:19">
      <c r="A41" s="29"/>
      <c r="B41" s="12"/>
      <c r="C41" s="12"/>
      <c r="D41" s="12"/>
      <c r="E41" s="12"/>
      <c r="F41" s="12"/>
      <c r="G41" s="39"/>
      <c r="H41" s="39"/>
      <c r="I41" s="79"/>
      <c r="J41" s="59"/>
      <c r="K41" s="4"/>
      <c r="L41" s="4"/>
      <c r="M41" s="4"/>
    </row>
    <row r="42" spans="1:19">
      <c r="A42" s="29"/>
      <c r="B42" s="12"/>
      <c r="C42" s="12"/>
      <c r="D42" s="12"/>
      <c r="E42" s="12"/>
      <c r="F42" s="12"/>
      <c r="G42" s="39"/>
      <c r="H42" s="39"/>
      <c r="I42" s="79"/>
      <c r="J42" s="59"/>
      <c r="K42" s="4"/>
      <c r="L42" s="4"/>
      <c r="M42" s="4"/>
    </row>
    <row r="43" spans="1:19">
      <c r="A43" s="29"/>
      <c r="B43" s="12"/>
      <c r="C43" s="12"/>
      <c r="D43" s="12"/>
      <c r="E43" s="12"/>
      <c r="F43" s="12"/>
      <c r="G43" s="39"/>
      <c r="H43" s="39"/>
      <c r="I43" s="79"/>
      <c r="J43" s="59"/>
      <c r="K43" s="4"/>
      <c r="L43" s="4"/>
      <c r="M43" s="4"/>
    </row>
    <row r="44" spans="1:19">
      <c r="A44" s="29"/>
      <c r="B44" s="12"/>
      <c r="C44" s="12"/>
      <c r="D44" s="12"/>
      <c r="E44" s="12"/>
      <c r="F44" s="12"/>
      <c r="G44" s="39"/>
      <c r="H44" s="39"/>
      <c r="I44" s="79"/>
      <c r="J44" s="59"/>
      <c r="K44" s="4"/>
      <c r="L44" s="4"/>
      <c r="M44" s="4"/>
    </row>
    <row r="45" spans="1:19">
      <c r="B45" s="7"/>
      <c r="C45" s="7"/>
      <c r="D45" s="7"/>
      <c r="E45" s="4"/>
      <c r="F45" s="35"/>
      <c r="G45" s="36"/>
      <c r="H45" s="36"/>
      <c r="I45" s="36"/>
      <c r="J45" s="36"/>
      <c r="K45" s="4"/>
      <c r="L45" s="4"/>
      <c r="M45" s="4"/>
    </row>
    <row r="46" spans="1:19">
      <c r="A46" s="67" t="s">
        <v>365</v>
      </c>
      <c r="B46" s="29"/>
      <c r="C46" s="29"/>
      <c r="D46" s="29"/>
      <c r="E46" s="29"/>
      <c r="F46" s="29"/>
      <c r="G46" s="29"/>
      <c r="H46" s="29"/>
      <c r="I46" s="68"/>
      <c r="J46" s="68"/>
      <c r="K46" s="4"/>
      <c r="L46" s="4"/>
      <c r="M46" s="4"/>
    </row>
    <row r="47" spans="1:19">
      <c r="A47" s="69"/>
      <c r="B47" s="12"/>
      <c r="C47" s="12"/>
      <c r="D47" s="39" t="s">
        <v>20</v>
      </c>
      <c r="E47" s="12"/>
      <c r="F47" s="39" t="s">
        <v>20</v>
      </c>
      <c r="G47" s="12"/>
      <c r="H47" s="39"/>
      <c r="I47" s="12"/>
      <c r="J47" s="62" t="s">
        <v>37</v>
      </c>
      <c r="K47" s="4"/>
      <c r="L47" s="4"/>
      <c r="M47" s="4"/>
    </row>
    <row r="48" spans="1:19">
      <c r="A48" s="69"/>
      <c r="B48" s="12"/>
      <c r="C48" s="12"/>
      <c r="D48" s="39" t="s">
        <v>27</v>
      </c>
      <c r="E48" s="39" t="s">
        <v>20</v>
      </c>
      <c r="F48" s="40" t="s">
        <v>25</v>
      </c>
      <c r="G48" s="40" t="s">
        <v>0</v>
      </c>
      <c r="H48" s="40" t="s">
        <v>5</v>
      </c>
      <c r="I48" s="40" t="s">
        <v>1</v>
      </c>
      <c r="J48" s="40" t="s">
        <v>2</v>
      </c>
      <c r="K48" s="4"/>
      <c r="L48" s="155"/>
      <c r="M48" s="12"/>
      <c r="N48" s="29"/>
      <c r="O48" s="29"/>
      <c r="P48" s="152"/>
      <c r="Q48" s="151"/>
      <c r="R48" s="151"/>
      <c r="S48" s="29"/>
    </row>
    <row r="49" spans="1:19">
      <c r="A49" s="69"/>
      <c r="B49" s="12"/>
      <c r="C49" s="12"/>
      <c r="D49" s="60" t="s">
        <v>28</v>
      </c>
      <c r="E49" s="60" t="s">
        <v>28</v>
      </c>
      <c r="F49" s="60" t="s">
        <v>0</v>
      </c>
      <c r="G49" s="60" t="s">
        <v>3</v>
      </c>
      <c r="H49" s="60" t="s">
        <v>24</v>
      </c>
      <c r="I49" s="60" t="s">
        <v>4</v>
      </c>
      <c r="J49" s="63" t="s">
        <v>5</v>
      </c>
      <c r="K49" s="4"/>
      <c r="L49" s="98" t="s">
        <v>79</v>
      </c>
      <c r="M49" s="99"/>
      <c r="N49" s="100"/>
      <c r="O49" s="100"/>
      <c r="P49" s="101" t="s">
        <v>367</v>
      </c>
      <c r="Q49" s="149"/>
      <c r="R49" s="149">
        <f>E54</f>
        <v>37.685000000000002</v>
      </c>
      <c r="S49" s="100"/>
    </row>
    <row r="50" spans="1:19">
      <c r="A50" s="69"/>
      <c r="B50" s="12"/>
      <c r="C50" s="12"/>
      <c r="D50" s="12"/>
      <c r="E50" s="12"/>
      <c r="F50" s="12"/>
      <c r="G50" s="12"/>
      <c r="H50" s="12"/>
      <c r="I50" s="12"/>
      <c r="J50" s="12"/>
      <c r="K50" s="4"/>
      <c r="L50" s="99"/>
      <c r="M50" s="99"/>
      <c r="N50" s="100"/>
      <c r="O50" s="100"/>
      <c r="P50" s="100"/>
      <c r="Q50" s="149"/>
      <c r="R50" s="100"/>
      <c r="S50" s="100"/>
    </row>
    <row r="51" spans="1:19">
      <c r="A51" s="69"/>
      <c r="B51" s="12" t="s">
        <v>7</v>
      </c>
      <c r="C51" s="12"/>
      <c r="D51" s="70">
        <f t="shared" ref="D51:D56" si="6">F27</f>
        <v>10024.107</v>
      </c>
      <c r="E51" s="28">
        <f>-P52</f>
        <v>-14.738780139983083</v>
      </c>
      <c r="F51" s="28">
        <f t="shared" ref="F51:F56" si="7">D51+E51</f>
        <v>10009.368219860016</v>
      </c>
      <c r="G51" s="47">
        <f>F51/F58</f>
        <v>0.29419564395190151</v>
      </c>
      <c r="H51" s="47">
        <f t="shared" ref="H51:H56" si="8">H27</f>
        <v>4.87E-2</v>
      </c>
      <c r="I51" s="47">
        <f t="shared" ref="I51:I56" si="9">G51*H51</f>
        <v>1.4327327860457604E-2</v>
      </c>
      <c r="J51" s="33">
        <f t="shared" ref="J51:J55" si="10">+I51*1/(1-(0.00072+0.00065))</f>
        <v>1.434698322747925E-2</v>
      </c>
      <c r="K51" s="4"/>
      <c r="L51" s="101" t="s">
        <v>76</v>
      </c>
      <c r="M51" s="102">
        <f>D53</f>
        <v>321.61099999999999</v>
      </c>
      <c r="N51" s="103">
        <f>M51/M54</f>
        <v>1.2548107235827678E-2</v>
      </c>
      <c r="O51" s="100"/>
      <c r="P51" s="223">
        <f>$R$49*N51</f>
        <v>0.47287542118216608</v>
      </c>
      <c r="Q51" s="149"/>
      <c r="R51" s="103"/>
      <c r="S51" s="100"/>
    </row>
    <row r="52" spans="1:19">
      <c r="A52" s="69"/>
      <c r="B52" s="12" t="s">
        <v>21</v>
      </c>
      <c r="C52" s="12"/>
      <c r="D52" s="44">
        <f t="shared" si="6"/>
        <v>386.36</v>
      </c>
      <c r="E52" s="28"/>
      <c r="F52" s="28">
        <f t="shared" si="7"/>
        <v>386.36</v>
      </c>
      <c r="G52" s="47">
        <f>F52/F58</f>
        <v>1.1355904438776487E-2</v>
      </c>
      <c r="H52" s="47">
        <f t="shared" si="8"/>
        <v>2.0400000000000001E-2</v>
      </c>
      <c r="I52" s="47">
        <f t="shared" si="9"/>
        <v>2.3166045055104037E-4</v>
      </c>
      <c r="J52" s="33">
        <f t="shared" si="10"/>
        <v>2.3197826076829293E-4</v>
      </c>
      <c r="K52" s="4"/>
      <c r="L52" s="101" t="s">
        <v>77</v>
      </c>
      <c r="M52" s="102">
        <f>D51</f>
        <v>10024.107</v>
      </c>
      <c r="N52" s="103">
        <f>M52/M54</f>
        <v>0.39110468727565562</v>
      </c>
      <c r="O52" s="100"/>
      <c r="P52" s="223">
        <f>$R$49*N52</f>
        <v>14.738780139983083</v>
      </c>
      <c r="Q52" s="149"/>
      <c r="R52" s="103"/>
      <c r="S52" s="100"/>
    </row>
    <row r="53" spans="1:19">
      <c r="A53" s="69"/>
      <c r="B53" s="12" t="s">
        <v>6</v>
      </c>
      <c r="C53" s="12"/>
      <c r="D53" s="44">
        <f t="shared" si="6"/>
        <v>321.61099999999999</v>
      </c>
      <c r="E53" s="28">
        <f>-P51</f>
        <v>-0.47287542118216608</v>
      </c>
      <c r="F53" s="28">
        <f t="shared" si="7"/>
        <v>321.13812457881784</v>
      </c>
      <c r="G53" s="47">
        <f>F53/F58</f>
        <v>9.438901165661439E-3</v>
      </c>
      <c r="H53" s="47">
        <f t="shared" si="8"/>
        <v>2.6800000000000001E-2</v>
      </c>
      <c r="I53" s="47">
        <f t="shared" si="9"/>
        <v>2.5296255123972658E-4</v>
      </c>
      <c r="J53" s="33">
        <f t="shared" si="10"/>
        <v>2.5330958537168576E-4</v>
      </c>
      <c r="K53" s="4"/>
      <c r="L53" s="101" t="s">
        <v>78</v>
      </c>
      <c r="M53" s="102">
        <f>D56</f>
        <v>15284.522000000001</v>
      </c>
      <c r="N53" s="103">
        <f>M53/M54</f>
        <v>0.59634720548851672</v>
      </c>
      <c r="O53" s="100"/>
      <c r="P53" s="223">
        <f>$R$49*N53</f>
        <v>22.473344438834754</v>
      </c>
      <c r="Q53" s="149"/>
      <c r="R53" s="103"/>
      <c r="S53" s="100"/>
    </row>
    <row r="54" spans="1:19">
      <c r="A54" s="69"/>
      <c r="B54" s="12" t="s">
        <v>22</v>
      </c>
      <c r="C54" s="12"/>
      <c r="D54" s="44">
        <f t="shared" si="6"/>
        <v>7905.6704525545838</v>
      </c>
      <c r="E54" s="28">
        <v>37.685000000000002</v>
      </c>
      <c r="F54" s="28">
        <f t="shared" si="7"/>
        <v>7943.3554525545842</v>
      </c>
      <c r="G54" s="47">
        <f>F54/F58</f>
        <v>0.23347133616948962</v>
      </c>
      <c r="H54" s="47">
        <f t="shared" si="8"/>
        <v>0</v>
      </c>
      <c r="I54" s="47">
        <f t="shared" si="9"/>
        <v>0</v>
      </c>
      <c r="J54" s="33">
        <f t="shared" si="10"/>
        <v>0</v>
      </c>
      <c r="K54" s="4"/>
      <c r="L54" s="99"/>
      <c r="M54" s="102">
        <f>SUM(M51:M53)</f>
        <v>25630.240000000002</v>
      </c>
      <c r="N54" s="100"/>
      <c r="O54" s="100"/>
      <c r="P54" s="223">
        <f>SUM(P51:P53)</f>
        <v>37.685000000000002</v>
      </c>
      <c r="Q54" s="149"/>
      <c r="R54" s="100"/>
      <c r="S54" s="100"/>
    </row>
    <row r="55" spans="1:19">
      <c r="A55" s="69"/>
      <c r="B55" s="12" t="s">
        <v>23</v>
      </c>
      <c r="C55" s="12"/>
      <c r="D55" s="44">
        <f t="shared" si="6"/>
        <v>100.559</v>
      </c>
      <c r="E55" s="28"/>
      <c r="F55" s="28">
        <f t="shared" si="7"/>
        <v>100.559</v>
      </c>
      <c r="G55" s="48">
        <f>F55/F58</f>
        <v>2.9556330739696777E-3</v>
      </c>
      <c r="H55" s="47">
        <f t="shared" si="8"/>
        <v>8.8700000000000001E-2</v>
      </c>
      <c r="I55" s="49">
        <f t="shared" si="9"/>
        <v>2.6216465366111043E-4</v>
      </c>
      <c r="J55" s="33">
        <f t="shared" si="10"/>
        <v>2.6252431196850727E-4</v>
      </c>
      <c r="K55" s="4"/>
      <c r="L55" s="99"/>
      <c r="M55" s="99"/>
      <c r="N55" s="100"/>
      <c r="O55" s="100"/>
      <c r="P55" s="100"/>
      <c r="Q55" s="100"/>
      <c r="R55" s="100"/>
      <c r="S55" s="100"/>
    </row>
    <row r="56" spans="1:19">
      <c r="A56" s="69"/>
      <c r="B56" s="12" t="s">
        <v>8</v>
      </c>
      <c r="C56" s="12"/>
      <c r="D56" s="71">
        <f t="shared" si="6"/>
        <v>15284.522000000001</v>
      </c>
      <c r="E56" s="50">
        <f>-P53</f>
        <v>-22.473344438834754</v>
      </c>
      <c r="F56" s="50">
        <f t="shared" si="7"/>
        <v>15262.048655561166</v>
      </c>
      <c r="G56" s="51">
        <f>F56/F58</f>
        <v>0.44858258120020122</v>
      </c>
      <c r="H56" s="47">
        <f t="shared" si="8"/>
        <v>0.115</v>
      </c>
      <c r="I56" s="52">
        <f t="shared" si="9"/>
        <v>5.158699683802314E-2</v>
      </c>
      <c r="J56" s="51">
        <f>+I56*1.63024</f>
        <v>8.4099185725218836E-2</v>
      </c>
      <c r="K56" s="4"/>
      <c r="L56" s="99"/>
      <c r="M56" s="99"/>
      <c r="N56" s="100"/>
      <c r="O56" s="100"/>
      <c r="P56" s="100"/>
      <c r="Q56" s="100"/>
      <c r="R56" s="100"/>
      <c r="S56" s="100"/>
    </row>
    <row r="57" spans="1:19">
      <c r="A57" s="69"/>
      <c r="B57" s="12"/>
      <c r="C57" s="12"/>
      <c r="D57" s="12"/>
      <c r="E57" s="28"/>
      <c r="F57" s="72"/>
      <c r="G57" s="73"/>
      <c r="H57" s="74"/>
      <c r="I57" s="74"/>
      <c r="J57" s="74"/>
      <c r="K57" s="4"/>
      <c r="L57" s="4"/>
      <c r="M57" s="4"/>
    </row>
    <row r="58" spans="1:19" ht="13.5" thickBot="1">
      <c r="A58" s="29"/>
      <c r="B58" s="75" t="s">
        <v>9</v>
      </c>
      <c r="C58" s="75"/>
      <c r="D58" s="76">
        <f>SUM(D51:D57)</f>
        <v>34022.829452554586</v>
      </c>
      <c r="E58" s="148">
        <f>SUM(E51:E57)</f>
        <v>0</v>
      </c>
      <c r="F58" s="77">
        <f>SUM(F51:F56)</f>
        <v>34022.829452554586</v>
      </c>
      <c r="G58" s="64">
        <f>SUM(G51:G56)</f>
        <v>1</v>
      </c>
      <c r="H58" s="64"/>
      <c r="I58" s="64">
        <f>SUM(I51:I56)</f>
        <v>6.6661112353932628E-2</v>
      </c>
      <c r="J58" s="64">
        <f>SUM(J51:J57)</f>
        <v>9.9193981110806573E-2</v>
      </c>
      <c r="K58" s="4"/>
      <c r="L58" s="4"/>
      <c r="M58" s="4"/>
    </row>
    <row r="59" spans="1:19" ht="13.5" thickTop="1">
      <c r="A59" s="29"/>
      <c r="B59" s="75"/>
      <c r="C59" s="75"/>
      <c r="D59" s="75"/>
      <c r="E59" s="12"/>
      <c r="F59" s="12"/>
      <c r="G59" s="33"/>
      <c r="H59" s="33"/>
      <c r="I59" s="33"/>
      <c r="J59" s="33"/>
      <c r="K59" s="4"/>
      <c r="L59" s="4"/>
      <c r="M59" s="4"/>
    </row>
    <row r="60" spans="1:19">
      <c r="A60" s="69"/>
      <c r="B60" s="38" t="s">
        <v>13</v>
      </c>
      <c r="C60" s="38"/>
      <c r="D60" s="38"/>
      <c r="E60" s="12"/>
      <c r="F60" s="12"/>
      <c r="G60" s="33"/>
      <c r="H60" s="33"/>
      <c r="I60" s="33"/>
      <c r="J60" s="222">
        <f>J58-J34</f>
        <v>-1.4533483853829132E-4</v>
      </c>
      <c r="K60" s="4"/>
      <c r="L60" s="4"/>
      <c r="M60" s="4"/>
    </row>
    <row r="61" spans="1:19">
      <c r="A61" s="78"/>
      <c r="B61" s="29" t="s">
        <v>12</v>
      </c>
      <c r="C61" s="29"/>
      <c r="D61" s="29"/>
      <c r="E61" s="29"/>
      <c r="F61" s="29"/>
      <c r="G61" s="29"/>
      <c r="H61" s="29"/>
      <c r="I61" s="68"/>
      <c r="J61" s="65">
        <f>'Exh. LK-27 - Page 2'!D25</f>
        <v>33622.827068319071</v>
      </c>
      <c r="K61" s="4"/>
      <c r="L61" s="4"/>
      <c r="M61" s="4"/>
    </row>
    <row r="62" spans="1:19">
      <c r="A62" s="78"/>
      <c r="B62" s="12"/>
      <c r="C62" s="12"/>
      <c r="D62" s="12"/>
      <c r="E62" s="12"/>
      <c r="F62" s="12"/>
      <c r="G62" s="12"/>
      <c r="H62" s="39"/>
      <c r="I62" s="33"/>
      <c r="J62" s="33"/>
      <c r="K62" s="4"/>
      <c r="L62" s="4"/>
      <c r="M62" s="4"/>
    </row>
    <row r="63" spans="1:19" ht="13.5" thickBot="1">
      <c r="A63" s="29"/>
      <c r="B63" s="12" t="s">
        <v>14</v>
      </c>
      <c r="C63" s="12"/>
      <c r="D63" s="12"/>
      <c r="E63" s="12"/>
      <c r="F63" s="12"/>
      <c r="G63" s="39"/>
      <c r="H63" s="39"/>
      <c r="I63" s="79"/>
      <c r="J63" s="80">
        <f>J61*J60</f>
        <v>-4.886568143175043</v>
      </c>
      <c r="K63" s="4"/>
      <c r="L63" s="4"/>
      <c r="M63" s="4"/>
    </row>
    <row r="64" spans="1:19" ht="13.5" thickTop="1">
      <c r="B64" s="7"/>
      <c r="C64" s="7"/>
      <c r="D64" s="7"/>
      <c r="E64" s="4"/>
      <c r="F64" s="35"/>
      <c r="G64" s="36"/>
      <c r="H64" s="36"/>
      <c r="I64" s="36"/>
      <c r="J64" s="36"/>
      <c r="K64" s="4"/>
      <c r="L64" s="4"/>
      <c r="M64" s="4"/>
    </row>
    <row r="65" spans="1:13">
      <c r="B65" s="7"/>
      <c r="C65" s="7"/>
      <c r="D65" s="7"/>
      <c r="E65" s="4"/>
      <c r="F65" s="35"/>
      <c r="G65" s="36"/>
      <c r="H65" s="36"/>
      <c r="I65" s="36"/>
      <c r="J65" s="36"/>
      <c r="K65" s="4"/>
      <c r="L65" s="4"/>
      <c r="M65" s="4"/>
    </row>
    <row r="66" spans="1:13">
      <c r="B66" s="7"/>
      <c r="C66" s="7"/>
      <c r="D66" s="7"/>
      <c r="E66" s="4"/>
      <c r="F66" s="35"/>
      <c r="G66" s="36"/>
      <c r="H66" s="36"/>
      <c r="I66" s="36"/>
      <c r="J66" s="36"/>
      <c r="K66" s="4"/>
      <c r="L66" s="4"/>
      <c r="M66" s="4"/>
    </row>
    <row r="67" spans="1:13">
      <c r="A67" s="67" t="s">
        <v>369</v>
      </c>
      <c r="B67" s="29"/>
      <c r="C67" s="29"/>
      <c r="D67" s="29"/>
      <c r="E67" s="29"/>
      <c r="F67" s="29"/>
      <c r="G67" s="29"/>
      <c r="H67" s="29"/>
      <c r="I67" s="68"/>
      <c r="J67" s="68"/>
      <c r="K67" s="4"/>
      <c r="L67" s="4"/>
      <c r="M67" s="4"/>
    </row>
    <row r="68" spans="1:13">
      <c r="A68" s="69"/>
      <c r="B68" s="12"/>
      <c r="C68" s="12"/>
      <c r="D68" s="39" t="s">
        <v>20</v>
      </c>
      <c r="E68" s="12"/>
      <c r="F68" s="39" t="s">
        <v>20</v>
      </c>
      <c r="G68" s="12"/>
      <c r="H68" s="39"/>
      <c r="I68" s="12"/>
      <c r="J68" s="62" t="s">
        <v>37</v>
      </c>
      <c r="K68" s="4"/>
      <c r="L68" s="4"/>
      <c r="M68" s="4"/>
    </row>
    <row r="69" spans="1:13">
      <c r="A69" s="69"/>
      <c r="B69" s="12"/>
      <c r="C69" s="12"/>
      <c r="D69" s="39" t="s">
        <v>27</v>
      </c>
      <c r="E69" s="39" t="s">
        <v>20</v>
      </c>
      <c r="F69" s="40" t="s">
        <v>25</v>
      </c>
      <c r="G69" s="40" t="s">
        <v>0</v>
      </c>
      <c r="H69" s="40" t="s">
        <v>5</v>
      </c>
      <c r="I69" s="40" t="s">
        <v>1</v>
      </c>
      <c r="J69" s="40" t="s">
        <v>2</v>
      </c>
      <c r="K69" s="4"/>
      <c r="L69" s="4"/>
      <c r="M69" s="4"/>
    </row>
    <row r="70" spans="1:13">
      <c r="A70" s="69"/>
      <c r="B70" s="12"/>
      <c r="C70" s="12"/>
      <c r="D70" s="60" t="s">
        <v>28</v>
      </c>
      <c r="E70" s="60" t="s">
        <v>28</v>
      </c>
      <c r="F70" s="60" t="s">
        <v>0</v>
      </c>
      <c r="G70" s="60" t="s">
        <v>3</v>
      </c>
      <c r="H70" s="60" t="s">
        <v>24</v>
      </c>
      <c r="I70" s="60" t="s">
        <v>4</v>
      </c>
      <c r="J70" s="63" t="s">
        <v>5</v>
      </c>
      <c r="K70" s="4"/>
      <c r="L70" s="4"/>
      <c r="M70" s="4"/>
    </row>
    <row r="71" spans="1:13">
      <c r="A71" s="69"/>
      <c r="B71" s="12"/>
      <c r="C71" s="12"/>
      <c r="D71" s="12"/>
      <c r="E71" s="12"/>
      <c r="F71" s="12"/>
      <c r="G71" s="12"/>
      <c r="H71" s="12"/>
      <c r="I71" s="12"/>
      <c r="J71" s="12"/>
      <c r="K71" s="4"/>
      <c r="L71" s="4"/>
      <c r="M71" s="4"/>
    </row>
    <row r="72" spans="1:13">
      <c r="A72" s="69"/>
      <c r="B72" s="12" t="s">
        <v>7</v>
      </c>
      <c r="C72" s="12"/>
      <c r="D72" s="70">
        <f>F51</f>
        <v>10009.368219860016</v>
      </c>
      <c r="E72" s="28"/>
      <c r="F72" s="28">
        <f t="shared" ref="F72:F77" si="11">D72+E72</f>
        <v>10009.368219860016</v>
      </c>
      <c r="G72" s="47">
        <f>F72/F79</f>
        <v>0.29419564395190151</v>
      </c>
      <c r="H72" s="47">
        <f>H51</f>
        <v>4.87E-2</v>
      </c>
      <c r="I72" s="47">
        <f t="shared" ref="I72:I77" si="12">G72*H72</f>
        <v>1.4327327860457604E-2</v>
      </c>
      <c r="J72" s="33">
        <f t="shared" ref="J72:J76" si="13">+I72*1/(1-(0.00072+0.00065))</f>
        <v>1.434698322747925E-2</v>
      </c>
      <c r="K72" s="4"/>
      <c r="L72" s="4"/>
      <c r="M72" s="4"/>
    </row>
    <row r="73" spans="1:13">
      <c r="A73" s="69"/>
      <c r="B73" s="12" t="s">
        <v>21</v>
      </c>
      <c r="C73" s="12"/>
      <c r="D73" s="44">
        <f t="shared" ref="D73:D77" si="14">F52</f>
        <v>386.36</v>
      </c>
      <c r="E73" s="28"/>
      <c r="F73" s="28">
        <f t="shared" si="11"/>
        <v>386.36</v>
      </c>
      <c r="G73" s="47">
        <f>F73/F79</f>
        <v>1.1355904438776487E-2</v>
      </c>
      <c r="H73" s="47">
        <f>H52</f>
        <v>2.0400000000000001E-2</v>
      </c>
      <c r="I73" s="47">
        <f t="shared" si="12"/>
        <v>2.3166045055104037E-4</v>
      </c>
      <c r="J73" s="33">
        <f t="shared" si="13"/>
        <v>2.3197826076829293E-4</v>
      </c>
      <c r="K73" s="4"/>
      <c r="L73" s="4"/>
      <c r="M73" s="4"/>
    </row>
    <row r="74" spans="1:13">
      <c r="A74" s="69"/>
      <c r="B74" s="12" t="s">
        <v>6</v>
      </c>
      <c r="C74" s="12"/>
      <c r="D74" s="44">
        <f t="shared" si="14"/>
        <v>321.13812457881784</v>
      </c>
      <c r="E74" s="28"/>
      <c r="F74" s="28">
        <f t="shared" si="11"/>
        <v>321.13812457881784</v>
      </c>
      <c r="G74" s="47">
        <f>F74/F79</f>
        <v>9.438901165661439E-3</v>
      </c>
      <c r="H74" s="47">
        <f>'Exh. LK-28'!H73</f>
        <v>1.1900000000000001E-2</v>
      </c>
      <c r="I74" s="47">
        <f t="shared" si="12"/>
        <v>1.1232292387137113E-4</v>
      </c>
      <c r="J74" s="33">
        <f t="shared" si="13"/>
        <v>1.1247701738518883E-4</v>
      </c>
      <c r="K74" s="4"/>
      <c r="L74" s="4"/>
      <c r="M74" s="4"/>
    </row>
    <row r="75" spans="1:13">
      <c r="A75" s="69"/>
      <c r="B75" s="12" t="s">
        <v>22</v>
      </c>
      <c r="C75" s="12"/>
      <c r="D75" s="44">
        <f t="shared" si="14"/>
        <v>7943.3554525545842</v>
      </c>
      <c r="E75" s="28"/>
      <c r="F75" s="28">
        <f t="shared" si="11"/>
        <v>7943.3554525545842</v>
      </c>
      <c r="G75" s="47">
        <f>F75/F79</f>
        <v>0.23347133616948962</v>
      </c>
      <c r="H75" s="47">
        <f>H54</f>
        <v>0</v>
      </c>
      <c r="I75" s="47">
        <f t="shared" si="12"/>
        <v>0</v>
      </c>
      <c r="J75" s="33">
        <f t="shared" si="13"/>
        <v>0</v>
      </c>
      <c r="K75" s="4"/>
      <c r="L75" s="4"/>
      <c r="M75" s="4"/>
    </row>
    <row r="76" spans="1:13">
      <c r="A76" s="69"/>
      <c r="B76" s="12" t="s">
        <v>23</v>
      </c>
      <c r="C76" s="12"/>
      <c r="D76" s="44">
        <f t="shared" si="14"/>
        <v>100.559</v>
      </c>
      <c r="E76" s="28"/>
      <c r="F76" s="28">
        <f t="shared" si="11"/>
        <v>100.559</v>
      </c>
      <c r="G76" s="48">
        <f>F76/F79</f>
        <v>2.9556330739696777E-3</v>
      </c>
      <c r="H76" s="47">
        <f>H55</f>
        <v>8.8700000000000001E-2</v>
      </c>
      <c r="I76" s="49">
        <f t="shared" si="12"/>
        <v>2.6216465366111043E-4</v>
      </c>
      <c r="J76" s="33">
        <f t="shared" si="13"/>
        <v>2.6252431196850727E-4</v>
      </c>
      <c r="K76" s="4"/>
      <c r="L76" s="4"/>
      <c r="M76" s="4"/>
    </row>
    <row r="77" spans="1:13">
      <c r="A77" s="69"/>
      <c r="B77" s="12" t="s">
        <v>8</v>
      </c>
      <c r="C77" s="12"/>
      <c r="D77" s="71">
        <f t="shared" si="14"/>
        <v>15262.048655561166</v>
      </c>
      <c r="E77" s="50"/>
      <c r="F77" s="50">
        <f t="shared" si="11"/>
        <v>15262.048655561166</v>
      </c>
      <c r="G77" s="51">
        <f>F77/F79</f>
        <v>0.44858258120020122</v>
      </c>
      <c r="H77" s="47">
        <f>H56</f>
        <v>0.115</v>
      </c>
      <c r="I77" s="52">
        <f t="shared" si="12"/>
        <v>5.158699683802314E-2</v>
      </c>
      <c r="J77" s="51">
        <f>+I77*1.63024</f>
        <v>8.4099185725218836E-2</v>
      </c>
      <c r="K77" s="4"/>
      <c r="L77" s="4"/>
      <c r="M77" s="4"/>
    </row>
    <row r="78" spans="1:13">
      <c r="A78" s="69"/>
      <c r="B78" s="12"/>
      <c r="C78" s="12"/>
      <c r="D78" s="12"/>
      <c r="E78" s="28"/>
      <c r="F78" s="72"/>
      <c r="G78" s="73"/>
      <c r="H78" s="74"/>
      <c r="I78" s="74"/>
      <c r="J78" s="74"/>
      <c r="K78" s="4"/>
      <c r="L78" s="4"/>
      <c r="M78" s="4"/>
    </row>
    <row r="79" spans="1:13" ht="13.5" thickBot="1">
      <c r="A79" s="29"/>
      <c r="B79" s="75" t="s">
        <v>9</v>
      </c>
      <c r="C79" s="75"/>
      <c r="D79" s="76">
        <f>SUM(D72:D78)</f>
        <v>34022.829452554586</v>
      </c>
      <c r="E79" s="148">
        <f>SUM(E72:E78)</f>
        <v>0</v>
      </c>
      <c r="F79" s="77">
        <f>SUM(F72:F77)</f>
        <v>34022.829452554586</v>
      </c>
      <c r="G79" s="64">
        <f>SUM(G72:G77)</f>
        <v>1</v>
      </c>
      <c r="H79" s="64"/>
      <c r="I79" s="64">
        <f>SUM(I72:I77)</f>
        <v>6.6520472726564264E-2</v>
      </c>
      <c r="J79" s="64">
        <f>SUM(J72:J78)</f>
        <v>9.9053148542820074E-2</v>
      </c>
      <c r="K79" s="4"/>
      <c r="L79" s="4"/>
      <c r="M79" s="4"/>
    </row>
    <row r="80" spans="1:13" ht="13.5" thickTop="1">
      <c r="A80" s="29"/>
      <c r="B80" s="75"/>
      <c r="C80" s="75"/>
      <c r="D80" s="75"/>
      <c r="E80" s="12"/>
      <c r="F80" s="12"/>
      <c r="G80" s="33"/>
      <c r="H80" s="33"/>
      <c r="I80" s="33"/>
      <c r="J80" s="33"/>
      <c r="K80" s="4"/>
      <c r="L80" s="4"/>
      <c r="M80" s="4"/>
    </row>
    <row r="81" spans="1:13">
      <c r="A81" s="69"/>
      <c r="B81" s="38" t="s">
        <v>13</v>
      </c>
      <c r="C81" s="38"/>
      <c r="D81" s="38"/>
      <c r="E81" s="12"/>
      <c r="F81" s="12"/>
      <c r="G81" s="33"/>
      <c r="H81" s="33"/>
      <c r="I81" s="33"/>
      <c r="J81" s="33">
        <f>J79-J58</f>
        <v>-1.4083256798649857E-4</v>
      </c>
      <c r="K81" s="4"/>
      <c r="L81" s="4"/>
      <c r="M81" s="4"/>
    </row>
    <row r="82" spans="1:13">
      <c r="A82" s="78"/>
      <c r="B82" s="29" t="s">
        <v>12</v>
      </c>
      <c r="C82" s="29"/>
      <c r="D82" s="29"/>
      <c r="E82" s="29"/>
      <c r="F82" s="29"/>
      <c r="G82" s="29"/>
      <c r="H82" s="29"/>
      <c r="I82" s="68"/>
      <c r="J82" s="65">
        <f>'Exh. LK-27 - Page 2'!D25</f>
        <v>33622.827068319071</v>
      </c>
      <c r="K82" s="4"/>
      <c r="L82" s="4"/>
      <c r="M82" s="4"/>
    </row>
    <row r="83" spans="1:13">
      <c r="A83" s="78"/>
      <c r="B83" s="12"/>
      <c r="C83" s="12"/>
      <c r="D83" s="12"/>
      <c r="E83" s="12"/>
      <c r="F83" s="12"/>
      <c r="G83" s="12"/>
      <c r="H83" s="39"/>
      <c r="I83" s="33"/>
      <c r="J83" s="33"/>
      <c r="K83" s="4"/>
      <c r="L83" s="4"/>
      <c r="M83" s="4"/>
    </row>
    <row r="84" spans="1:13" ht="13.5" thickBot="1">
      <c r="A84" s="29"/>
      <c r="B84" s="12" t="s">
        <v>14</v>
      </c>
      <c r="C84" s="12"/>
      <c r="D84" s="12"/>
      <c r="E84" s="12"/>
      <c r="F84" s="12"/>
      <c r="G84" s="39"/>
      <c r="H84" s="39"/>
      <c r="I84" s="79"/>
      <c r="J84" s="80">
        <f>J82*J81</f>
        <v>-4.7351890789973297</v>
      </c>
      <c r="K84" s="4"/>
      <c r="L84" s="4"/>
      <c r="M84" s="4"/>
    </row>
    <row r="85" spans="1:13" ht="13.5" thickTop="1">
      <c r="B85" s="7"/>
      <c r="C85" s="7"/>
      <c r="D85" s="7"/>
      <c r="E85" s="4"/>
      <c r="F85" s="35"/>
      <c r="G85" s="36"/>
      <c r="H85" s="36"/>
      <c r="I85" s="36"/>
      <c r="J85" s="36"/>
      <c r="K85" s="4"/>
      <c r="L85" s="4"/>
      <c r="M85" s="4"/>
    </row>
    <row r="86" spans="1:13">
      <c r="B86" s="7"/>
      <c r="C86" s="7"/>
      <c r="D86" s="7"/>
      <c r="E86" s="4"/>
      <c r="F86" s="35"/>
      <c r="G86" s="36"/>
      <c r="H86" s="36"/>
      <c r="I86" s="36"/>
      <c r="J86" s="36"/>
      <c r="K86" s="4"/>
      <c r="L86" s="4"/>
      <c r="M86" s="4"/>
    </row>
    <row r="87" spans="1:13">
      <c r="A87" s="67" t="s">
        <v>583</v>
      </c>
      <c r="B87" s="29"/>
      <c r="C87" s="29"/>
      <c r="D87" s="29"/>
      <c r="E87" s="29"/>
      <c r="F87" s="29"/>
      <c r="G87" s="29"/>
      <c r="H87" s="29"/>
      <c r="I87" s="68"/>
      <c r="J87" s="68"/>
      <c r="K87" s="4"/>
      <c r="L87" s="4"/>
      <c r="M87" s="4"/>
    </row>
    <row r="88" spans="1:13">
      <c r="A88" s="69"/>
      <c r="B88" s="12"/>
      <c r="C88" s="12"/>
      <c r="D88" s="39" t="s">
        <v>20</v>
      </c>
      <c r="E88" s="12"/>
      <c r="F88" s="39" t="s">
        <v>20</v>
      </c>
      <c r="G88" s="12"/>
      <c r="H88" s="39"/>
      <c r="I88" s="12"/>
      <c r="J88" s="62" t="s">
        <v>37</v>
      </c>
      <c r="K88" s="4"/>
      <c r="L88" s="4"/>
      <c r="M88" s="4"/>
    </row>
    <row r="89" spans="1:13">
      <c r="A89" s="69"/>
      <c r="B89" s="12"/>
      <c r="C89" s="12"/>
      <c r="D89" s="39" t="s">
        <v>27</v>
      </c>
      <c r="E89" s="39" t="s">
        <v>20</v>
      </c>
      <c r="F89" s="40" t="s">
        <v>25</v>
      </c>
      <c r="G89" s="40" t="s">
        <v>0</v>
      </c>
      <c r="H89" s="40" t="s">
        <v>5</v>
      </c>
      <c r="I89" s="40" t="s">
        <v>1</v>
      </c>
      <c r="J89" s="40" t="s">
        <v>2</v>
      </c>
      <c r="K89" s="4"/>
      <c r="L89" s="4"/>
      <c r="M89" s="4"/>
    </row>
    <row r="90" spans="1:13">
      <c r="A90" s="69"/>
      <c r="B90" s="12"/>
      <c r="C90" s="12"/>
      <c r="D90" s="60" t="s">
        <v>28</v>
      </c>
      <c r="E90" s="60" t="s">
        <v>28</v>
      </c>
      <c r="F90" s="60" t="s">
        <v>0</v>
      </c>
      <c r="G90" s="60" t="s">
        <v>3</v>
      </c>
      <c r="H90" s="60" t="s">
        <v>24</v>
      </c>
      <c r="I90" s="60" t="s">
        <v>4</v>
      </c>
      <c r="J90" s="63" t="s">
        <v>5</v>
      </c>
      <c r="K90" s="4"/>
      <c r="L90" s="4"/>
      <c r="M90" s="4"/>
    </row>
    <row r="91" spans="1:13">
      <c r="A91" s="69"/>
      <c r="B91" s="12"/>
      <c r="C91" s="12"/>
      <c r="D91" s="12"/>
      <c r="E91" s="12"/>
      <c r="F91" s="12"/>
      <c r="G91" s="12"/>
      <c r="H91" s="12"/>
      <c r="I91" s="12"/>
      <c r="J91" s="12"/>
      <c r="K91" s="4"/>
      <c r="L91" s="4"/>
      <c r="M91" s="4"/>
    </row>
    <row r="92" spans="1:13">
      <c r="A92" s="69"/>
      <c r="B92" s="12" t="s">
        <v>7</v>
      </c>
      <c r="C92" s="12"/>
      <c r="D92" s="70">
        <f>F72</f>
        <v>10009.368219860016</v>
      </c>
      <c r="E92" s="28"/>
      <c r="F92" s="28">
        <f t="shared" ref="F92:F97" si="15">D92+E92</f>
        <v>10009.368219860016</v>
      </c>
      <c r="G92" s="47">
        <f>F92/F99</f>
        <v>0.29419564395190151</v>
      </c>
      <c r="H92" s="47">
        <f>H72</f>
        <v>4.87E-2</v>
      </c>
      <c r="I92" s="47">
        <f t="shared" ref="I92:I97" si="16">G92*H92</f>
        <v>1.4327327860457604E-2</v>
      </c>
      <c r="J92" s="33">
        <f t="shared" ref="J92:J96" si="17">+I92*1/(1-(0.00072+0.00065))</f>
        <v>1.434698322747925E-2</v>
      </c>
      <c r="K92" s="4"/>
      <c r="L92" s="4"/>
      <c r="M92" s="4"/>
    </row>
    <row r="93" spans="1:13">
      <c r="A93" s="69"/>
      <c r="B93" s="12" t="s">
        <v>21</v>
      </c>
      <c r="C93" s="12"/>
      <c r="D93" s="70">
        <f t="shared" ref="D93:D97" si="18">F73</f>
        <v>386.36</v>
      </c>
      <c r="E93" s="28"/>
      <c r="F93" s="28">
        <f t="shared" si="15"/>
        <v>386.36</v>
      </c>
      <c r="G93" s="47">
        <f>F93/F99</f>
        <v>1.1355904438776487E-2</v>
      </c>
      <c r="H93" s="49">
        <f t="shared" ref="H93:H97" si="19">H73</f>
        <v>2.0400000000000001E-2</v>
      </c>
      <c r="I93" s="47">
        <f t="shared" si="16"/>
        <v>2.3166045055104037E-4</v>
      </c>
      <c r="J93" s="33">
        <f t="shared" si="17"/>
        <v>2.3197826076829293E-4</v>
      </c>
      <c r="K93" s="4"/>
      <c r="L93" s="4"/>
      <c r="M93" s="4"/>
    </row>
    <row r="94" spans="1:13">
      <c r="A94" s="69"/>
      <c r="B94" s="12" t="s">
        <v>6</v>
      </c>
      <c r="C94" s="12"/>
      <c r="D94" s="70">
        <f t="shared" si="18"/>
        <v>321.13812457881784</v>
      </c>
      <c r="E94" s="28"/>
      <c r="F94" s="28">
        <f t="shared" si="15"/>
        <v>321.13812457881784</v>
      </c>
      <c r="G94" s="47">
        <f>F94/F99</f>
        <v>9.438901165661439E-3</v>
      </c>
      <c r="H94" s="49">
        <v>5.5999999999999999E-3</v>
      </c>
      <c r="I94" s="47">
        <f t="shared" si="16"/>
        <v>5.285784652770406E-5</v>
      </c>
      <c r="J94" s="33">
        <f t="shared" si="17"/>
        <v>5.2930361122441801E-5</v>
      </c>
      <c r="K94" s="4"/>
      <c r="L94" s="4"/>
      <c r="M94" s="4"/>
    </row>
    <row r="95" spans="1:13">
      <c r="A95" s="69"/>
      <c r="B95" s="12" t="s">
        <v>22</v>
      </c>
      <c r="C95" s="12"/>
      <c r="D95" s="70">
        <f t="shared" si="18"/>
        <v>7943.3554525545842</v>
      </c>
      <c r="E95" s="28"/>
      <c r="F95" s="28">
        <f t="shared" si="15"/>
        <v>7943.3554525545842</v>
      </c>
      <c r="G95" s="47">
        <f>F95/F99</f>
        <v>0.23347133616948962</v>
      </c>
      <c r="H95" s="49">
        <f t="shared" si="19"/>
        <v>0</v>
      </c>
      <c r="I95" s="47">
        <f t="shared" si="16"/>
        <v>0</v>
      </c>
      <c r="J95" s="33">
        <f t="shared" si="17"/>
        <v>0</v>
      </c>
      <c r="K95" s="4"/>
      <c r="L95" s="4"/>
      <c r="M95" s="4"/>
    </row>
    <row r="96" spans="1:13">
      <c r="A96" s="69"/>
      <c r="B96" s="12" t="s">
        <v>23</v>
      </c>
      <c r="C96" s="12"/>
      <c r="D96" s="70">
        <f t="shared" si="18"/>
        <v>100.559</v>
      </c>
      <c r="E96" s="28"/>
      <c r="F96" s="28">
        <f t="shared" si="15"/>
        <v>100.559</v>
      </c>
      <c r="G96" s="48">
        <f>F96/F99</f>
        <v>2.9556330739696777E-3</v>
      </c>
      <c r="H96" s="49">
        <f t="shared" si="19"/>
        <v>8.8700000000000001E-2</v>
      </c>
      <c r="I96" s="49">
        <f t="shared" si="16"/>
        <v>2.6216465366111043E-4</v>
      </c>
      <c r="J96" s="33">
        <f t="shared" si="17"/>
        <v>2.6252431196850727E-4</v>
      </c>
      <c r="K96" s="4"/>
      <c r="L96" s="4"/>
      <c r="M96" s="4"/>
    </row>
    <row r="97" spans="1:19">
      <c r="A97" s="69"/>
      <c r="B97" s="12" t="s">
        <v>8</v>
      </c>
      <c r="C97" s="12"/>
      <c r="D97" s="71">
        <f t="shared" si="18"/>
        <v>15262.048655561166</v>
      </c>
      <c r="E97" s="50"/>
      <c r="F97" s="50">
        <f t="shared" si="15"/>
        <v>15262.048655561166</v>
      </c>
      <c r="G97" s="51">
        <f>F97/F99</f>
        <v>0.44858258120020122</v>
      </c>
      <c r="H97" s="52">
        <f t="shared" si="19"/>
        <v>0.115</v>
      </c>
      <c r="I97" s="52">
        <f t="shared" si="16"/>
        <v>5.158699683802314E-2</v>
      </c>
      <c r="J97" s="51">
        <f>+I97*1.63024</f>
        <v>8.4099185725218836E-2</v>
      </c>
      <c r="K97" s="4"/>
      <c r="L97" s="4"/>
      <c r="M97" s="4"/>
    </row>
    <row r="98" spans="1:19">
      <c r="A98" s="69"/>
      <c r="B98" s="12"/>
      <c r="C98" s="12"/>
      <c r="D98" s="12"/>
      <c r="E98" s="28"/>
      <c r="F98" s="72"/>
      <c r="G98" s="73"/>
      <c r="H98" s="74"/>
      <c r="I98" s="74"/>
      <c r="J98" s="74"/>
      <c r="K98" s="4"/>
      <c r="L98" s="4"/>
      <c r="M98" s="4"/>
    </row>
    <row r="99" spans="1:19" ht="13.5" thickBot="1">
      <c r="A99" s="29"/>
      <c r="B99" s="75" t="s">
        <v>9</v>
      </c>
      <c r="C99" s="75"/>
      <c r="D99" s="76">
        <f>SUM(D92:D98)</f>
        <v>34022.829452554586</v>
      </c>
      <c r="E99" s="148">
        <f>SUM(E92:E98)</f>
        <v>0</v>
      </c>
      <c r="F99" s="77">
        <f>SUM(F92:F97)</f>
        <v>34022.829452554586</v>
      </c>
      <c r="G99" s="64">
        <f>SUM(G92:G97)</f>
        <v>1</v>
      </c>
      <c r="H99" s="64"/>
      <c r="I99" s="64">
        <f>SUM(I92:I97)</f>
        <v>6.6461007649220596E-2</v>
      </c>
      <c r="J99" s="64">
        <f>SUM(J92:J98)</f>
        <v>9.8993601886557328E-2</v>
      </c>
      <c r="K99" s="4"/>
      <c r="L99" s="4"/>
      <c r="M99" s="4"/>
    </row>
    <row r="100" spans="1:19" ht="13.5" thickTop="1">
      <c r="A100" s="29"/>
      <c r="B100" s="75"/>
      <c r="C100" s="75"/>
      <c r="D100" s="75"/>
      <c r="E100" s="12"/>
      <c r="F100" s="12"/>
      <c r="G100" s="33"/>
      <c r="H100" s="33"/>
      <c r="I100" s="33"/>
      <c r="J100" s="33"/>
      <c r="K100" s="4"/>
      <c r="L100" s="4"/>
      <c r="M100" s="4"/>
    </row>
    <row r="101" spans="1:19">
      <c r="A101" s="69"/>
      <c r="B101" s="38" t="s">
        <v>13</v>
      </c>
      <c r="C101" s="38"/>
      <c r="D101" s="38"/>
      <c r="E101" s="12"/>
      <c r="F101" s="12"/>
      <c r="G101" s="33"/>
      <c r="H101" s="33"/>
      <c r="I101" s="33"/>
      <c r="J101" s="33">
        <f>J99-J79</f>
        <v>-5.9546656262746134E-5</v>
      </c>
      <c r="K101" s="4"/>
      <c r="L101" s="4"/>
      <c r="M101" s="4"/>
    </row>
    <row r="102" spans="1:19">
      <c r="A102" s="78"/>
      <c r="B102" s="29" t="s">
        <v>12</v>
      </c>
      <c r="C102" s="29"/>
      <c r="D102" s="29"/>
      <c r="E102" s="29"/>
      <c r="F102" s="29"/>
      <c r="G102" s="29"/>
      <c r="H102" s="29"/>
      <c r="I102" s="68"/>
      <c r="J102" s="65">
        <f>'Exh. LK-27 - Page 2'!D25</f>
        <v>33622.827068319071</v>
      </c>
      <c r="K102" s="4"/>
      <c r="L102" s="4"/>
      <c r="M102" s="4"/>
    </row>
    <row r="103" spans="1:19">
      <c r="A103" s="78"/>
      <c r="B103" s="12"/>
      <c r="C103" s="12"/>
      <c r="D103" s="12"/>
      <c r="E103" s="12"/>
      <c r="F103" s="12"/>
      <c r="G103" s="12"/>
      <c r="H103" s="39"/>
      <c r="I103" s="33"/>
      <c r="J103" s="33"/>
      <c r="K103" s="4"/>
      <c r="L103" s="4"/>
      <c r="M103" s="4"/>
    </row>
    <row r="104" spans="1:19" ht="13.5" thickBot="1">
      <c r="A104" s="29"/>
      <c r="B104" s="12" t="s">
        <v>14</v>
      </c>
      <c r="C104" s="12"/>
      <c r="D104" s="12"/>
      <c r="E104" s="12"/>
      <c r="F104" s="12"/>
      <c r="G104" s="39"/>
      <c r="H104" s="39"/>
      <c r="I104" s="79"/>
      <c r="J104" s="80">
        <f>J102*J101</f>
        <v>-2.0021269260189523</v>
      </c>
      <c r="K104" s="4"/>
      <c r="L104" s="4"/>
      <c r="M104" s="4"/>
    </row>
    <row r="105" spans="1:19" ht="13.5" thickTop="1">
      <c r="B105" s="7"/>
      <c r="C105" s="7"/>
      <c r="D105" s="7"/>
      <c r="E105" s="4"/>
      <c r="F105" s="35"/>
      <c r="G105" s="36"/>
      <c r="H105" s="36"/>
      <c r="I105" s="36"/>
      <c r="J105" s="36"/>
      <c r="K105" s="4"/>
      <c r="L105" s="4"/>
      <c r="M105" s="4"/>
    </row>
    <row r="106" spans="1:19">
      <c r="A106" s="67" t="s">
        <v>598</v>
      </c>
      <c r="B106" s="29"/>
      <c r="C106" s="29"/>
      <c r="D106" s="29"/>
      <c r="E106" s="29"/>
      <c r="F106" s="29"/>
      <c r="G106" s="29"/>
      <c r="H106" s="29"/>
      <c r="I106" s="68"/>
      <c r="J106" s="68"/>
      <c r="K106" s="4"/>
      <c r="L106" s="4"/>
      <c r="M106" s="4"/>
    </row>
    <row r="107" spans="1:19">
      <c r="A107" s="69"/>
      <c r="B107" s="12"/>
      <c r="C107" s="12"/>
      <c r="D107" s="39" t="s">
        <v>20</v>
      </c>
      <c r="E107" s="12"/>
      <c r="F107" s="39" t="s">
        <v>20</v>
      </c>
      <c r="G107" s="12"/>
      <c r="H107" s="39"/>
      <c r="I107" s="12"/>
      <c r="J107" s="62" t="s">
        <v>37</v>
      </c>
      <c r="K107" s="4"/>
      <c r="L107" s="4"/>
      <c r="M107" s="4"/>
    </row>
    <row r="108" spans="1:19">
      <c r="A108" s="69"/>
      <c r="B108" s="12"/>
      <c r="C108" s="12"/>
      <c r="D108" s="39" t="s">
        <v>27</v>
      </c>
      <c r="E108" s="39" t="s">
        <v>20</v>
      </c>
      <c r="F108" s="40" t="s">
        <v>25</v>
      </c>
      <c r="G108" s="40" t="s">
        <v>0</v>
      </c>
      <c r="H108" s="40" t="s">
        <v>5</v>
      </c>
      <c r="I108" s="40" t="s">
        <v>1</v>
      </c>
      <c r="J108" s="40" t="s">
        <v>2</v>
      </c>
      <c r="K108" s="4"/>
      <c r="L108" s="4"/>
      <c r="M108" s="4"/>
    </row>
    <row r="109" spans="1:19">
      <c r="A109" s="69"/>
      <c r="B109" s="12"/>
      <c r="C109" s="12"/>
      <c r="D109" s="60" t="s">
        <v>28</v>
      </c>
      <c r="E109" s="60" t="s">
        <v>28</v>
      </c>
      <c r="F109" s="60" t="s">
        <v>0</v>
      </c>
      <c r="G109" s="60" t="s">
        <v>3</v>
      </c>
      <c r="H109" s="60" t="s">
        <v>24</v>
      </c>
      <c r="I109" s="60" t="s">
        <v>4</v>
      </c>
      <c r="J109" s="63" t="s">
        <v>5</v>
      </c>
      <c r="K109" s="4"/>
      <c r="L109" s="4"/>
      <c r="M109" s="4"/>
    </row>
    <row r="110" spans="1:19">
      <c r="A110" s="69"/>
      <c r="B110" s="12"/>
      <c r="C110" s="12"/>
      <c r="D110" s="12"/>
      <c r="E110" s="12"/>
      <c r="F110" s="12"/>
      <c r="G110" s="12"/>
      <c r="H110" s="12"/>
      <c r="I110" s="12"/>
      <c r="J110" s="12"/>
      <c r="K110" s="4"/>
      <c r="L110" s="4"/>
      <c r="M110" s="4"/>
    </row>
    <row r="111" spans="1:19">
      <c r="A111" s="69"/>
      <c r="B111" s="12" t="s">
        <v>7</v>
      </c>
      <c r="C111" s="12"/>
      <c r="D111" s="70">
        <f>F92</f>
        <v>10009.368219860016</v>
      </c>
      <c r="E111" s="28"/>
      <c r="F111" s="28">
        <f t="shared" ref="F111:F116" si="20">D111+E111</f>
        <v>10009.368219860016</v>
      </c>
      <c r="G111" s="47">
        <f>F111/F118</f>
        <v>0.29419564395190151</v>
      </c>
      <c r="H111" s="47">
        <f>ROUND('As Adjusted MFR Sch. D-4 (2018)'!G78,4)</f>
        <v>4.53E-2</v>
      </c>
      <c r="I111" s="47">
        <f t="shared" ref="I111:I116" si="21">G111*H111</f>
        <v>1.3327062671021139E-2</v>
      </c>
      <c r="J111" s="33">
        <f t="shared" ref="J111:J115" si="22">+I111*1/(1-(0.00072+0.00065))</f>
        <v>1.3345345794759959E-2</v>
      </c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1:19">
      <c r="A112" s="69"/>
      <c r="B112" s="12" t="s">
        <v>21</v>
      </c>
      <c r="C112" s="12"/>
      <c r="D112" s="44">
        <f t="shared" ref="D112:D116" si="23">F93</f>
        <v>386.36</v>
      </c>
      <c r="E112" s="28"/>
      <c r="F112" s="28">
        <f t="shared" si="20"/>
        <v>386.36</v>
      </c>
      <c r="G112" s="47">
        <f>F112/F118</f>
        <v>1.1355904438776487E-2</v>
      </c>
      <c r="H112" s="47">
        <f>H73</f>
        <v>2.0400000000000001E-2</v>
      </c>
      <c r="I112" s="47">
        <f t="shared" si="21"/>
        <v>2.3166045055104037E-4</v>
      </c>
      <c r="J112" s="33">
        <f t="shared" si="22"/>
        <v>2.3197826076829293E-4</v>
      </c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1:19">
      <c r="A113" s="69"/>
      <c r="B113" s="12" t="s">
        <v>6</v>
      </c>
      <c r="C113" s="12"/>
      <c r="D113" s="44">
        <f t="shared" si="23"/>
        <v>321.13812457881784</v>
      </c>
      <c r="E113" s="28"/>
      <c r="F113" s="28">
        <f t="shared" si="20"/>
        <v>321.13812457881784</v>
      </c>
      <c r="G113" s="47">
        <f>F113/F118</f>
        <v>9.438901165661439E-3</v>
      </c>
      <c r="H113" s="47">
        <f>H94</f>
        <v>5.5999999999999999E-3</v>
      </c>
      <c r="I113" s="47">
        <f t="shared" si="21"/>
        <v>5.285784652770406E-5</v>
      </c>
      <c r="J113" s="33">
        <f t="shared" si="22"/>
        <v>5.2930361122441801E-5</v>
      </c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1:19">
      <c r="A114" s="69"/>
      <c r="B114" s="12" t="s">
        <v>22</v>
      </c>
      <c r="C114" s="12"/>
      <c r="D114" s="44">
        <f t="shared" si="23"/>
        <v>7943.3554525545842</v>
      </c>
      <c r="E114" s="28"/>
      <c r="F114" s="28">
        <f t="shared" si="20"/>
        <v>7943.3554525545842</v>
      </c>
      <c r="G114" s="47">
        <f>F114/F118</f>
        <v>0.23347133616948962</v>
      </c>
      <c r="H114" s="47">
        <f>H75</f>
        <v>0</v>
      </c>
      <c r="I114" s="47">
        <f t="shared" si="21"/>
        <v>0</v>
      </c>
      <c r="J114" s="33">
        <f t="shared" si="22"/>
        <v>0</v>
      </c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1:19">
      <c r="A115" s="69"/>
      <c r="B115" s="12" t="s">
        <v>23</v>
      </c>
      <c r="C115" s="12"/>
      <c r="D115" s="44">
        <f t="shared" si="23"/>
        <v>100.559</v>
      </c>
      <c r="E115" s="28"/>
      <c r="F115" s="28">
        <f t="shared" si="20"/>
        <v>100.559</v>
      </c>
      <c r="G115" s="48">
        <f>F115/F118</f>
        <v>2.9556330739696777E-3</v>
      </c>
      <c r="H115" s="47">
        <f>H76</f>
        <v>8.8700000000000001E-2</v>
      </c>
      <c r="I115" s="49">
        <f t="shared" si="21"/>
        <v>2.6216465366111043E-4</v>
      </c>
      <c r="J115" s="33">
        <f t="shared" si="22"/>
        <v>2.6252431196850727E-4</v>
      </c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1:19">
      <c r="A116" s="69"/>
      <c r="B116" s="12" t="s">
        <v>8</v>
      </c>
      <c r="C116" s="12"/>
      <c r="D116" s="71">
        <f t="shared" si="23"/>
        <v>15262.048655561166</v>
      </c>
      <c r="E116" s="50"/>
      <c r="F116" s="50">
        <f t="shared" si="20"/>
        <v>15262.048655561166</v>
      </c>
      <c r="G116" s="51">
        <f>F116/F118</f>
        <v>0.44858258120020122</v>
      </c>
      <c r="H116" s="47">
        <f>H77</f>
        <v>0.115</v>
      </c>
      <c r="I116" s="52">
        <f t="shared" si="21"/>
        <v>5.158699683802314E-2</v>
      </c>
      <c r="J116" s="51">
        <f>+I116*1.63024</f>
        <v>8.4099185725218836E-2</v>
      </c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1:19">
      <c r="A117" s="69"/>
      <c r="B117" s="12"/>
      <c r="C117" s="12"/>
      <c r="D117" s="12"/>
      <c r="E117" s="28"/>
      <c r="F117" s="72"/>
      <c r="G117" s="73"/>
      <c r="H117" s="74"/>
      <c r="I117" s="74"/>
      <c r="J117" s="74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1:19" ht="13.5" thickBot="1">
      <c r="A118" s="29"/>
      <c r="B118" s="75" t="s">
        <v>9</v>
      </c>
      <c r="C118" s="75"/>
      <c r="D118" s="76">
        <f>SUM(D111:D117)</f>
        <v>34022.829452554586</v>
      </c>
      <c r="E118" s="148">
        <f>SUM(E111:E117)</f>
        <v>0</v>
      </c>
      <c r="F118" s="77">
        <f>SUM(F111:F116)</f>
        <v>34022.829452554586</v>
      </c>
      <c r="G118" s="64">
        <f>SUM(G111:G116)</f>
        <v>1</v>
      </c>
      <c r="H118" s="64"/>
      <c r="I118" s="64">
        <f>SUM(I111:I116)</f>
        <v>6.546074245978413E-2</v>
      </c>
      <c r="J118" s="64">
        <f>SUM(J111:J117)</f>
        <v>9.7991964453838037E-2</v>
      </c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:19" ht="13.5" thickTop="1">
      <c r="A119" s="29"/>
      <c r="B119" s="75"/>
      <c r="C119" s="75"/>
      <c r="D119" s="75"/>
      <c r="E119" s="12"/>
      <c r="F119" s="12"/>
      <c r="G119" s="33"/>
      <c r="H119" s="33"/>
      <c r="I119" s="33"/>
      <c r="J119" s="33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:19">
      <c r="A120" s="69"/>
      <c r="B120" s="38" t="s">
        <v>13</v>
      </c>
      <c r="C120" s="38"/>
      <c r="D120" s="38"/>
      <c r="E120" s="12"/>
      <c r="F120" s="12"/>
      <c r="G120" s="33"/>
      <c r="H120" s="33"/>
      <c r="I120" s="33"/>
      <c r="J120" s="33">
        <f>J118-J79</f>
        <v>-1.0611840889820368E-3</v>
      </c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:19">
      <c r="A121" s="78"/>
      <c r="B121" s="29" t="s">
        <v>12</v>
      </c>
      <c r="C121" s="29"/>
      <c r="D121" s="29"/>
      <c r="E121" s="29"/>
      <c r="F121" s="29"/>
      <c r="G121" s="29"/>
      <c r="H121" s="29"/>
      <c r="I121" s="68"/>
      <c r="J121" s="65">
        <f>'Exh. LK-27 - Page 2'!D25</f>
        <v>33622.827068319071</v>
      </c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1:19">
      <c r="A122" s="78"/>
      <c r="B122" s="12"/>
      <c r="C122" s="12"/>
      <c r="D122" s="12"/>
      <c r="E122" s="12"/>
      <c r="F122" s="12"/>
      <c r="G122" s="12"/>
      <c r="H122" s="39"/>
      <c r="I122" s="33"/>
      <c r="J122" s="33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1:19" ht="13.5" thickBot="1">
      <c r="A123" s="29"/>
      <c r="B123" s="12" t="s">
        <v>14</v>
      </c>
      <c r="C123" s="12"/>
      <c r="D123" s="12"/>
      <c r="E123" s="12"/>
      <c r="F123" s="12"/>
      <c r="G123" s="39"/>
      <c r="H123" s="39"/>
      <c r="I123" s="79"/>
      <c r="J123" s="80">
        <f>J121*J120</f>
        <v>-35.680009111494741</v>
      </c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:19" ht="13.5" thickTop="1">
      <c r="A124" s="29"/>
      <c r="B124" s="12"/>
      <c r="C124" s="12"/>
      <c r="D124" s="12"/>
      <c r="E124" s="12"/>
      <c r="F124" s="12"/>
      <c r="G124" s="39"/>
      <c r="H124" s="39"/>
      <c r="I124" s="79"/>
      <c r="J124" s="5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1:19">
      <c r="A125" s="67" t="s">
        <v>580</v>
      </c>
      <c r="B125" s="29"/>
      <c r="C125" s="29"/>
      <c r="D125" s="29"/>
      <c r="E125" s="29"/>
      <c r="F125" s="29"/>
      <c r="G125" s="29"/>
      <c r="H125" s="29"/>
      <c r="I125" s="68"/>
      <c r="J125" s="68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:19">
      <c r="A126" s="69"/>
      <c r="B126" s="12"/>
      <c r="C126" s="12"/>
      <c r="D126" s="39" t="s">
        <v>20</v>
      </c>
      <c r="E126" s="12"/>
      <c r="F126" s="39" t="s">
        <v>20</v>
      </c>
      <c r="G126" s="12"/>
      <c r="H126" s="39"/>
      <c r="I126" s="12"/>
      <c r="J126" s="62" t="s">
        <v>37</v>
      </c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1:19">
      <c r="A127" s="69"/>
      <c r="B127" s="12"/>
      <c r="C127" s="12"/>
      <c r="D127" s="39" t="s">
        <v>27</v>
      </c>
      <c r="E127" s="39" t="s">
        <v>20</v>
      </c>
      <c r="F127" s="40" t="s">
        <v>25</v>
      </c>
      <c r="G127" s="40" t="s">
        <v>0</v>
      </c>
      <c r="H127" s="40" t="s">
        <v>5</v>
      </c>
      <c r="I127" s="40" t="s">
        <v>1</v>
      </c>
      <c r="J127" s="40" t="s">
        <v>2</v>
      </c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1:19">
      <c r="A128" s="69"/>
      <c r="B128" s="12"/>
      <c r="C128" s="12"/>
      <c r="D128" s="60" t="s">
        <v>28</v>
      </c>
      <c r="E128" s="60" t="s">
        <v>28</v>
      </c>
      <c r="F128" s="60" t="s">
        <v>0</v>
      </c>
      <c r="G128" s="60" t="s">
        <v>3</v>
      </c>
      <c r="H128" s="60" t="s">
        <v>24</v>
      </c>
      <c r="I128" s="60" t="s">
        <v>4</v>
      </c>
      <c r="J128" s="63" t="s">
        <v>5</v>
      </c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1:19">
      <c r="A129" s="69"/>
      <c r="B129" s="12"/>
      <c r="C129" s="12"/>
      <c r="D129" s="12"/>
      <c r="E129" s="12"/>
      <c r="F129" s="12"/>
      <c r="G129" s="12"/>
      <c r="H129" s="12"/>
      <c r="I129" s="12"/>
      <c r="J129" s="12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1:19">
      <c r="A130" s="69"/>
      <c r="B130" s="12" t="s">
        <v>7</v>
      </c>
      <c r="C130" s="12"/>
      <c r="D130" s="70">
        <f t="shared" ref="D130:D135" si="24">F111</f>
        <v>10009.368219860016</v>
      </c>
      <c r="E130" s="12"/>
      <c r="F130" s="28">
        <f t="shared" ref="F130:F135" si="25">D130+E130</f>
        <v>10009.368219860016</v>
      </c>
      <c r="G130" s="47">
        <f>F130/F137</f>
        <v>0.29419564395190151</v>
      </c>
      <c r="H130" s="47">
        <f>H111</f>
        <v>4.53E-2</v>
      </c>
      <c r="I130" s="47">
        <f t="shared" ref="I130:I135" si="26">G130*H130</f>
        <v>1.3327062671021139E-2</v>
      </c>
      <c r="J130" s="33">
        <f t="shared" ref="J130:J134" si="27">+I130*1/(1-(0.00072+0.00065))</f>
        <v>1.3345345794759959E-2</v>
      </c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1:19">
      <c r="A131" s="69"/>
      <c r="B131" s="12" t="s">
        <v>21</v>
      </c>
      <c r="C131" s="12"/>
      <c r="D131" s="44">
        <f t="shared" si="24"/>
        <v>386.36</v>
      </c>
      <c r="E131" s="12"/>
      <c r="F131" s="28">
        <f t="shared" si="25"/>
        <v>386.36</v>
      </c>
      <c r="G131" s="47">
        <f>F131/F137</f>
        <v>1.1355904438776487E-2</v>
      </c>
      <c r="H131" s="49">
        <f>H112</f>
        <v>2.0400000000000001E-2</v>
      </c>
      <c r="I131" s="47">
        <f t="shared" si="26"/>
        <v>2.3166045055104037E-4</v>
      </c>
      <c r="J131" s="33">
        <f t="shared" si="27"/>
        <v>2.3197826076829293E-4</v>
      </c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1:19">
      <c r="A132" s="69"/>
      <c r="B132" s="12" t="s">
        <v>6</v>
      </c>
      <c r="C132" s="12"/>
      <c r="D132" s="44">
        <f t="shared" si="24"/>
        <v>321.13812457881784</v>
      </c>
      <c r="E132" s="12"/>
      <c r="F132" s="28">
        <f t="shared" si="25"/>
        <v>321.13812457881784</v>
      </c>
      <c r="G132" s="47">
        <f>F132/F137</f>
        <v>9.438901165661439E-3</v>
      </c>
      <c r="H132" s="49">
        <f>H113</f>
        <v>5.5999999999999999E-3</v>
      </c>
      <c r="I132" s="47">
        <f t="shared" si="26"/>
        <v>5.285784652770406E-5</v>
      </c>
      <c r="J132" s="33">
        <f t="shared" si="27"/>
        <v>5.2930361122441801E-5</v>
      </c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1:19">
      <c r="A133" s="69"/>
      <c r="B133" s="12" t="s">
        <v>22</v>
      </c>
      <c r="C133" s="12"/>
      <c r="D133" s="44">
        <f t="shared" si="24"/>
        <v>7943.3554525545842</v>
      </c>
      <c r="E133" s="12"/>
      <c r="F133" s="28">
        <f t="shared" si="25"/>
        <v>7943.3554525545842</v>
      </c>
      <c r="G133" s="47">
        <f>F133/F137</f>
        <v>0.23347133616948962</v>
      </c>
      <c r="H133" s="49">
        <f>H114</f>
        <v>0</v>
      </c>
      <c r="I133" s="47">
        <f t="shared" si="26"/>
        <v>0</v>
      </c>
      <c r="J133" s="33">
        <f t="shared" si="27"/>
        <v>0</v>
      </c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1:19">
      <c r="A134" s="69"/>
      <c r="B134" s="12" t="s">
        <v>23</v>
      </c>
      <c r="C134" s="12"/>
      <c r="D134" s="44">
        <f t="shared" si="24"/>
        <v>100.559</v>
      </c>
      <c r="E134" s="12"/>
      <c r="F134" s="28">
        <f t="shared" si="25"/>
        <v>100.559</v>
      </c>
      <c r="G134" s="48">
        <f>F134/F137</f>
        <v>2.9556330739696777E-3</v>
      </c>
      <c r="H134" s="49">
        <f>H115</f>
        <v>8.8700000000000001E-2</v>
      </c>
      <c r="I134" s="49">
        <f t="shared" si="26"/>
        <v>2.6216465366111043E-4</v>
      </c>
      <c r="J134" s="33">
        <f t="shared" si="27"/>
        <v>2.6252431196850727E-4</v>
      </c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1:19">
      <c r="A135" s="69"/>
      <c r="B135" s="12" t="s">
        <v>8</v>
      </c>
      <c r="C135" s="12"/>
      <c r="D135" s="71">
        <f t="shared" si="24"/>
        <v>15262.048655561166</v>
      </c>
      <c r="E135" s="61"/>
      <c r="F135" s="50">
        <f t="shared" si="25"/>
        <v>15262.048655561166</v>
      </c>
      <c r="G135" s="51">
        <f>F135/F137</f>
        <v>0.44858258120020122</v>
      </c>
      <c r="H135" s="52">
        <v>0.11</v>
      </c>
      <c r="I135" s="52">
        <f t="shared" si="26"/>
        <v>4.9344083932022137E-2</v>
      </c>
      <c r="J135" s="51">
        <f>+I135*1.63024</f>
        <v>8.0442699389339761E-2</v>
      </c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1:19">
      <c r="A136" s="69"/>
      <c r="B136" s="12"/>
      <c r="C136" s="12"/>
      <c r="D136" s="12"/>
      <c r="E136" s="12"/>
      <c r="F136" s="72"/>
      <c r="G136" s="12"/>
      <c r="H136" s="33"/>
      <c r="I136" s="33"/>
      <c r="J136" s="33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1:19" ht="13.5" thickBot="1">
      <c r="A137" s="69"/>
      <c r="B137" s="75" t="s">
        <v>9</v>
      </c>
      <c r="C137" s="75"/>
      <c r="D137" s="76">
        <f>SUM(D130:D136)</f>
        <v>34022.829452554586</v>
      </c>
      <c r="E137" s="76">
        <f>SUM(E130:E136)</f>
        <v>0</v>
      </c>
      <c r="F137" s="77">
        <f>SUM(F130:F135)</f>
        <v>34022.829452554586</v>
      </c>
      <c r="G137" s="64">
        <f>SUM(G130:G135)</f>
        <v>1</v>
      </c>
      <c r="H137" s="64"/>
      <c r="I137" s="64">
        <f>SUM(I130:I135)</f>
        <v>6.3217829553783134E-2</v>
      </c>
      <c r="J137" s="64">
        <f>SUM(J130:J136)</f>
        <v>9.4335478117958962E-2</v>
      </c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1:19" ht="13.5" thickTop="1">
      <c r="A138" s="29"/>
      <c r="B138" s="75"/>
      <c r="C138" s="75"/>
      <c r="D138" s="75"/>
      <c r="E138" s="12"/>
      <c r="F138" s="12"/>
      <c r="G138" s="33"/>
      <c r="H138" s="33"/>
      <c r="I138" s="33"/>
      <c r="J138" s="33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1:19">
      <c r="A139" s="29"/>
      <c r="B139" s="38" t="s">
        <v>13</v>
      </c>
      <c r="C139" s="38"/>
      <c r="D139" s="38"/>
      <c r="E139" s="12"/>
      <c r="F139" s="12"/>
      <c r="G139" s="33"/>
      <c r="H139" s="33"/>
      <c r="I139" s="33"/>
      <c r="J139" s="33">
        <f>J137-J118</f>
        <v>-3.656486335879075E-3</v>
      </c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1:19">
      <c r="A140" s="69"/>
      <c r="B140" s="29" t="s">
        <v>12</v>
      </c>
      <c r="C140" s="29"/>
      <c r="D140" s="29"/>
      <c r="E140" s="29"/>
      <c r="F140" s="29"/>
      <c r="G140" s="29"/>
      <c r="H140" s="29"/>
      <c r="I140" s="68"/>
      <c r="J140" s="65">
        <f>'Exh. LK-27 - Page 2'!D25</f>
        <v>33622.827068319071</v>
      </c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1:19">
      <c r="A141" s="78"/>
      <c r="B141" s="12"/>
      <c r="C141" s="12"/>
      <c r="D141" s="12"/>
      <c r="E141" s="12"/>
      <c r="F141" s="12"/>
      <c r="G141" s="12"/>
      <c r="H141" s="39"/>
      <c r="I141" s="33"/>
      <c r="J141" s="33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1:19" ht="13.5" thickBot="1">
      <c r="A142" s="78"/>
      <c r="B142" s="12" t="s">
        <v>14</v>
      </c>
      <c r="C142" s="12"/>
      <c r="D142" s="12"/>
      <c r="E142" s="12"/>
      <c r="F142" s="12"/>
      <c r="G142" s="39"/>
      <c r="H142" s="39"/>
      <c r="I142" s="79"/>
      <c r="J142" s="80">
        <f>J140*J139</f>
        <v>-122.94140774893378</v>
      </c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1:19" ht="13.5" thickTop="1">
      <c r="A143" s="78"/>
      <c r="B143" s="12"/>
      <c r="C143" s="12"/>
      <c r="D143" s="12"/>
      <c r="E143" s="12"/>
      <c r="F143" s="12"/>
      <c r="G143" s="39"/>
      <c r="H143" s="39"/>
      <c r="I143" s="79"/>
      <c r="J143" s="5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1:19">
      <c r="A144" s="67" t="s">
        <v>581</v>
      </c>
      <c r="B144" s="29"/>
      <c r="C144" s="29"/>
      <c r="D144" s="29"/>
      <c r="E144" s="29"/>
      <c r="F144" s="29"/>
      <c r="G144" s="29"/>
      <c r="H144" s="29"/>
      <c r="I144" s="68"/>
      <c r="J144" s="68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1:19">
      <c r="A145" s="69"/>
      <c r="B145" s="12"/>
      <c r="C145" s="12"/>
      <c r="D145" s="39" t="s">
        <v>20</v>
      </c>
      <c r="E145" s="12"/>
      <c r="F145" s="39" t="s">
        <v>20</v>
      </c>
      <c r="G145" s="12"/>
      <c r="H145" s="39"/>
      <c r="I145" s="12"/>
      <c r="J145" s="62" t="s">
        <v>37</v>
      </c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1:19">
      <c r="A146" s="69"/>
      <c r="B146" s="12"/>
      <c r="C146" s="12"/>
      <c r="D146" s="39" t="s">
        <v>27</v>
      </c>
      <c r="E146" s="39" t="s">
        <v>20</v>
      </c>
      <c r="F146" s="40" t="s">
        <v>25</v>
      </c>
      <c r="G146" s="40" t="s">
        <v>0</v>
      </c>
      <c r="H146" s="40" t="s">
        <v>5</v>
      </c>
      <c r="I146" s="40" t="s">
        <v>1</v>
      </c>
      <c r="J146" s="40" t="s">
        <v>2</v>
      </c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:19">
      <c r="A147" s="69"/>
      <c r="B147" s="12"/>
      <c r="C147" s="12"/>
      <c r="D147" s="60" t="s">
        <v>28</v>
      </c>
      <c r="E147" s="60" t="s">
        <v>28</v>
      </c>
      <c r="F147" s="60" t="s">
        <v>0</v>
      </c>
      <c r="G147" s="60" t="s">
        <v>3</v>
      </c>
      <c r="H147" s="60" t="s">
        <v>24</v>
      </c>
      <c r="I147" s="60" t="s">
        <v>4</v>
      </c>
      <c r="J147" s="63" t="s">
        <v>5</v>
      </c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1:19">
      <c r="A148" s="69"/>
      <c r="B148" s="12"/>
      <c r="C148" s="12"/>
      <c r="D148" s="12"/>
      <c r="E148" s="12"/>
      <c r="F148" s="12"/>
      <c r="G148" s="12"/>
      <c r="H148" s="12"/>
      <c r="I148" s="12"/>
      <c r="J148" s="12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1:19">
      <c r="A149" s="69"/>
      <c r="B149" s="12" t="s">
        <v>7</v>
      </c>
      <c r="C149" s="12"/>
      <c r="D149" s="70">
        <f t="shared" ref="D149:D154" si="28">F111</f>
        <v>10009.368219860016</v>
      </c>
      <c r="E149" s="12"/>
      <c r="F149" s="28">
        <f t="shared" ref="F149:F154" si="29">D149+E149</f>
        <v>10009.368219860016</v>
      </c>
      <c r="G149" s="47">
        <f>F149/F156</f>
        <v>0.29419564395190151</v>
      </c>
      <c r="H149" s="47">
        <f>H111</f>
        <v>4.53E-2</v>
      </c>
      <c r="I149" s="47">
        <f t="shared" ref="I149:I154" si="30">G149*H149</f>
        <v>1.3327062671021139E-2</v>
      </c>
      <c r="J149" s="33">
        <f t="shared" ref="J149:J153" si="31">+I149*1/(1-(0.00072+0.00065))</f>
        <v>1.3345345794759959E-2</v>
      </c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:19">
      <c r="A150" s="69"/>
      <c r="B150" s="12" t="s">
        <v>21</v>
      </c>
      <c r="C150" s="12"/>
      <c r="D150" s="70">
        <f t="shared" si="28"/>
        <v>386.36</v>
      </c>
      <c r="E150" s="12"/>
      <c r="F150" s="28">
        <f t="shared" si="29"/>
        <v>386.36</v>
      </c>
      <c r="G150" s="47">
        <f>F150/F156</f>
        <v>1.1355904438776487E-2</v>
      </c>
      <c r="H150" s="47">
        <f>H112</f>
        <v>2.0400000000000001E-2</v>
      </c>
      <c r="I150" s="47">
        <f t="shared" si="30"/>
        <v>2.3166045055104037E-4</v>
      </c>
      <c r="J150" s="33">
        <f t="shared" si="31"/>
        <v>2.3197826076829293E-4</v>
      </c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1:19">
      <c r="A151" s="69"/>
      <c r="B151" s="12" t="s">
        <v>6</v>
      </c>
      <c r="C151" s="12"/>
      <c r="D151" s="70">
        <f t="shared" si="28"/>
        <v>321.13812457881784</v>
      </c>
      <c r="E151" s="12"/>
      <c r="F151" s="28">
        <f t="shared" si="29"/>
        <v>321.13812457881784</v>
      </c>
      <c r="G151" s="47">
        <f>F151/F156</f>
        <v>9.438901165661439E-3</v>
      </c>
      <c r="H151" s="47">
        <f>H113</f>
        <v>5.5999999999999999E-3</v>
      </c>
      <c r="I151" s="47">
        <f t="shared" si="30"/>
        <v>5.285784652770406E-5</v>
      </c>
      <c r="J151" s="33">
        <f t="shared" si="31"/>
        <v>5.2930361122441801E-5</v>
      </c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1:19">
      <c r="A152" s="69"/>
      <c r="B152" s="12" t="s">
        <v>22</v>
      </c>
      <c r="C152" s="12"/>
      <c r="D152" s="70">
        <f t="shared" si="28"/>
        <v>7943.3554525545842</v>
      </c>
      <c r="E152" s="12"/>
      <c r="F152" s="28">
        <f t="shared" si="29"/>
        <v>7943.3554525545842</v>
      </c>
      <c r="G152" s="47">
        <f>F152/F156</f>
        <v>0.23347133616948962</v>
      </c>
      <c r="H152" s="47">
        <f>H114</f>
        <v>0</v>
      </c>
      <c r="I152" s="47">
        <f t="shared" si="30"/>
        <v>0</v>
      </c>
      <c r="J152" s="33">
        <f t="shared" si="31"/>
        <v>0</v>
      </c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1:19">
      <c r="A153" s="69"/>
      <c r="B153" s="12" t="s">
        <v>23</v>
      </c>
      <c r="C153" s="12"/>
      <c r="D153" s="70">
        <f t="shared" si="28"/>
        <v>100.559</v>
      </c>
      <c r="E153" s="12"/>
      <c r="F153" s="28">
        <f t="shared" si="29"/>
        <v>100.559</v>
      </c>
      <c r="G153" s="48">
        <f>F153/F156</f>
        <v>2.9556330739696777E-3</v>
      </c>
      <c r="H153" s="47">
        <f>H115</f>
        <v>8.8700000000000001E-2</v>
      </c>
      <c r="I153" s="49">
        <f t="shared" si="30"/>
        <v>2.6216465366111043E-4</v>
      </c>
      <c r="J153" s="33">
        <f t="shared" si="31"/>
        <v>2.6252431196850727E-4</v>
      </c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1:19">
      <c r="A154" s="69"/>
      <c r="B154" s="12" t="s">
        <v>8</v>
      </c>
      <c r="C154" s="12"/>
      <c r="D154" s="71">
        <f t="shared" si="28"/>
        <v>15262.048655561166</v>
      </c>
      <c r="E154" s="61"/>
      <c r="F154" s="50">
        <f t="shared" si="29"/>
        <v>15262.048655561166</v>
      </c>
      <c r="G154" s="51">
        <f>F154/F156</f>
        <v>0.44858258120020122</v>
      </c>
      <c r="H154" s="52">
        <v>0.09</v>
      </c>
      <c r="I154" s="52">
        <f t="shared" si="30"/>
        <v>4.0372432308018111E-2</v>
      </c>
      <c r="J154" s="51">
        <f>+I154*1.63024</f>
        <v>6.5816754045823447E-2</v>
      </c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1:19">
      <c r="A155" s="69"/>
      <c r="B155" s="12"/>
      <c r="C155" s="12"/>
      <c r="D155" s="12"/>
      <c r="E155" s="12"/>
      <c r="F155" s="72"/>
      <c r="G155" s="12"/>
      <c r="H155" s="33"/>
      <c r="I155" s="33"/>
      <c r="J155" s="33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1:19" ht="13.5" thickBot="1">
      <c r="A156" s="69"/>
      <c r="B156" s="75" t="s">
        <v>9</v>
      </c>
      <c r="C156" s="75"/>
      <c r="D156" s="76">
        <f>SUM(D149:D155)</f>
        <v>34022.829452554586</v>
      </c>
      <c r="E156" s="76">
        <f>SUM(E149:E155)</f>
        <v>0</v>
      </c>
      <c r="F156" s="77">
        <f>SUM(F149:F154)</f>
        <v>34022.829452554586</v>
      </c>
      <c r="G156" s="64">
        <f>SUM(G149:G154)</f>
        <v>1</v>
      </c>
      <c r="H156" s="64"/>
      <c r="I156" s="64">
        <f>SUM(I149:I154)</f>
        <v>5.4246177929779107E-2</v>
      </c>
      <c r="J156" s="64">
        <f>SUM(J149:J155)</f>
        <v>7.9709532774442649E-2</v>
      </c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1:19" ht="13.5" thickTop="1">
      <c r="A157" s="29"/>
      <c r="B157" s="75"/>
      <c r="C157" s="75"/>
      <c r="D157" s="75"/>
      <c r="E157" s="12"/>
      <c r="F157" s="12"/>
      <c r="G157" s="33"/>
      <c r="H157" s="33"/>
      <c r="I157" s="33"/>
      <c r="J157" s="33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:19">
      <c r="A158" s="29"/>
      <c r="B158" s="38" t="s">
        <v>13</v>
      </c>
      <c r="C158" s="38"/>
      <c r="D158" s="38"/>
      <c r="E158" s="12"/>
      <c r="F158" s="12"/>
      <c r="G158" s="33"/>
      <c r="H158" s="33"/>
      <c r="I158" s="33"/>
      <c r="J158" s="33">
        <f>J156-J137</f>
        <v>-1.4625945343516314E-2</v>
      </c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1:19">
      <c r="A159" s="69"/>
      <c r="B159" s="29" t="s">
        <v>12</v>
      </c>
      <c r="C159" s="29"/>
      <c r="D159" s="29"/>
      <c r="E159" s="29"/>
      <c r="F159" s="29"/>
      <c r="G159" s="29"/>
      <c r="H159" s="29"/>
      <c r="I159" s="68"/>
      <c r="J159" s="65">
        <f>'Exh. LK-27 - Page 2'!D25</f>
        <v>33622.827068319071</v>
      </c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1:19">
      <c r="A160" s="78"/>
      <c r="B160" s="12"/>
      <c r="C160" s="12"/>
      <c r="D160" s="12"/>
      <c r="E160" s="12"/>
      <c r="F160" s="12"/>
      <c r="G160" s="12"/>
      <c r="H160" s="39"/>
      <c r="I160" s="33"/>
      <c r="J160" s="33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1:19" ht="13.5" thickBot="1">
      <c r="A161" s="78"/>
      <c r="B161" s="12" t="s">
        <v>14</v>
      </c>
      <c r="C161" s="12"/>
      <c r="D161" s="12"/>
      <c r="E161" s="12"/>
      <c r="F161" s="12"/>
      <c r="G161" s="39"/>
      <c r="H161" s="39"/>
      <c r="I161" s="79"/>
      <c r="J161" s="80">
        <f>J159*J158</f>
        <v>-491.76563099573559</v>
      </c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:19" ht="14.25" thickTop="1" thickBot="1">
      <c r="A162" s="78"/>
      <c r="B162" s="12"/>
      <c r="C162" s="12"/>
      <c r="D162" s="12"/>
      <c r="E162" s="12"/>
      <c r="F162" s="91" t="s">
        <v>73</v>
      </c>
      <c r="G162" s="39"/>
      <c r="H162" s="92">
        <f>J161/2</f>
        <v>-245.8828154978678</v>
      </c>
      <c r="I162" s="79"/>
      <c r="J162" s="5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1:19" ht="13.5" thickTop="1">
      <c r="A163" s="78"/>
      <c r="B163" s="12"/>
      <c r="C163" s="12"/>
      <c r="D163" s="12"/>
      <c r="E163" s="12"/>
      <c r="F163" s="91"/>
      <c r="G163" s="39"/>
      <c r="H163" s="93"/>
      <c r="I163" s="79"/>
      <c r="J163" s="5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1:19">
      <c r="A164" s="67" t="s">
        <v>582</v>
      </c>
      <c r="B164" s="29"/>
      <c r="C164" s="29"/>
      <c r="D164" s="29"/>
      <c r="E164" s="29"/>
      <c r="F164" s="29"/>
      <c r="G164" s="29"/>
      <c r="H164" s="29"/>
      <c r="I164" s="68"/>
      <c r="J164" s="68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1:19">
      <c r="A165" s="69"/>
      <c r="B165" s="12"/>
      <c r="C165" s="12"/>
      <c r="D165" s="39" t="s">
        <v>20</v>
      </c>
      <c r="E165" s="12"/>
      <c r="F165" s="39" t="s">
        <v>20</v>
      </c>
      <c r="G165" s="12"/>
      <c r="H165" s="39"/>
      <c r="I165" s="12"/>
      <c r="J165" s="62" t="s">
        <v>37</v>
      </c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1:19">
      <c r="A166" s="69"/>
      <c r="B166" s="12"/>
      <c r="C166" s="12"/>
      <c r="D166" s="39" t="s">
        <v>27</v>
      </c>
      <c r="E166" s="39" t="s">
        <v>20</v>
      </c>
      <c r="F166" s="40" t="s">
        <v>25</v>
      </c>
      <c r="G166" s="40" t="s">
        <v>0</v>
      </c>
      <c r="H166" s="40" t="s">
        <v>5</v>
      </c>
      <c r="I166" s="40" t="s">
        <v>1</v>
      </c>
      <c r="J166" s="40" t="s">
        <v>2</v>
      </c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1:19">
      <c r="A167" s="69"/>
      <c r="B167" s="12"/>
      <c r="C167" s="12"/>
      <c r="D167" s="60" t="s">
        <v>28</v>
      </c>
      <c r="E167" s="60" t="s">
        <v>28</v>
      </c>
      <c r="F167" s="60" t="s">
        <v>0</v>
      </c>
      <c r="G167" s="60" t="s">
        <v>3</v>
      </c>
      <c r="H167" s="60" t="s">
        <v>24</v>
      </c>
      <c r="I167" s="60" t="s">
        <v>4</v>
      </c>
      <c r="J167" s="63" t="s">
        <v>5</v>
      </c>
      <c r="K167" s="29"/>
      <c r="L167" s="224" t="s">
        <v>368</v>
      </c>
      <c r="M167" s="99"/>
      <c r="N167" s="100"/>
      <c r="O167" s="100"/>
      <c r="P167" s="101" t="s">
        <v>80</v>
      </c>
      <c r="Q167" s="149"/>
      <c r="R167" s="100"/>
      <c r="S167" s="100"/>
    </row>
    <row r="168" spans="1:19">
      <c r="A168" s="69"/>
      <c r="B168" s="12"/>
      <c r="C168" s="12"/>
      <c r="D168" s="12"/>
      <c r="E168" s="12"/>
      <c r="F168" s="12"/>
      <c r="G168" s="12"/>
      <c r="H168" s="12"/>
      <c r="I168" s="12"/>
      <c r="J168" s="12"/>
      <c r="L168" s="99"/>
      <c r="M168" s="99"/>
      <c r="N168" s="100"/>
      <c r="O168" s="100"/>
      <c r="P168" s="100"/>
      <c r="Q168" s="149"/>
      <c r="R168" s="100"/>
      <c r="S168" s="100"/>
    </row>
    <row r="169" spans="1:19">
      <c r="A169" s="69"/>
      <c r="B169" s="12" t="s">
        <v>7</v>
      </c>
      <c r="C169" s="12"/>
      <c r="D169" s="70">
        <f>F149</f>
        <v>10009.368219860016</v>
      </c>
      <c r="E169" s="28">
        <f>P170</f>
        <v>227.65378013998213</v>
      </c>
      <c r="F169" s="28">
        <f t="shared" ref="F169:F174" si="32">D169+E169</f>
        <v>10237.021999999999</v>
      </c>
      <c r="G169" s="47">
        <f>F169/F176</f>
        <v>0.30088685052710562</v>
      </c>
      <c r="H169" s="47">
        <f>H149</f>
        <v>4.53E-2</v>
      </c>
      <c r="I169" s="47">
        <f t="shared" ref="I169:I174" si="33">G169*H169</f>
        <v>1.3630174328877885E-2</v>
      </c>
      <c r="J169" s="33">
        <f t="shared" ref="J169:J173" si="34">+I169*1/(1-(0.00072+0.00065))</f>
        <v>1.3648873285278716E-2</v>
      </c>
      <c r="L169" s="101" t="s">
        <v>76</v>
      </c>
      <c r="M169" s="102">
        <f>D171</f>
        <v>321.13812457881784</v>
      </c>
      <c r="N169" s="103">
        <f>M169/M172</f>
        <v>1.2548107235827678E-2</v>
      </c>
      <c r="O169" s="100"/>
      <c r="P169" s="149">
        <f>(M172*0.05)-M169</f>
        <v>958.48962542118227</v>
      </c>
      <c r="Q169" s="149">
        <f>M169+P169</f>
        <v>1279.6277500000001</v>
      </c>
      <c r="R169" s="103">
        <f>Q169/Q172</f>
        <v>0.05</v>
      </c>
      <c r="S169" s="100"/>
    </row>
    <row r="170" spans="1:19">
      <c r="A170" s="69"/>
      <c r="B170" s="12" t="s">
        <v>21</v>
      </c>
      <c r="C170" s="12"/>
      <c r="D170" s="70">
        <f t="shared" ref="D170:D174" si="35">F150</f>
        <v>386.36</v>
      </c>
      <c r="E170" s="28"/>
      <c r="F170" s="28">
        <f t="shared" si="32"/>
        <v>386.36</v>
      </c>
      <c r="G170" s="47">
        <f>F170/F176</f>
        <v>1.1355904438776487E-2</v>
      </c>
      <c r="H170" s="47">
        <f t="shared" ref="H170:H174" si="36">H150</f>
        <v>2.0400000000000001E-2</v>
      </c>
      <c r="I170" s="47">
        <f t="shared" si="33"/>
        <v>2.3166045055104037E-4</v>
      </c>
      <c r="J170" s="33">
        <f t="shared" si="34"/>
        <v>2.3197826076829293E-4</v>
      </c>
      <c r="L170" s="101" t="s">
        <v>77</v>
      </c>
      <c r="M170" s="102">
        <f>D169</f>
        <v>10009.368219860016</v>
      </c>
      <c r="N170" s="103">
        <f>M170/M172</f>
        <v>0.39110468727565562</v>
      </c>
      <c r="O170" s="100"/>
      <c r="P170" s="150">
        <f>-P171-P169</f>
        <v>227.65378013998213</v>
      </c>
      <c r="Q170" s="149">
        <f t="shared" ref="Q170:Q171" si="37">M170+P170</f>
        <v>10237.021999999999</v>
      </c>
      <c r="R170" s="103">
        <f>Q170/Q172</f>
        <v>0.39999999999999997</v>
      </c>
      <c r="S170" s="100"/>
    </row>
    <row r="171" spans="1:19">
      <c r="A171" s="69"/>
      <c r="B171" s="12" t="s">
        <v>6</v>
      </c>
      <c r="C171" s="12"/>
      <c r="D171" s="70">
        <f t="shared" si="35"/>
        <v>321.13812457881784</v>
      </c>
      <c r="E171" s="28">
        <f>P169</f>
        <v>958.48962542118227</v>
      </c>
      <c r="F171" s="28">
        <f t="shared" si="32"/>
        <v>1279.6277500000001</v>
      </c>
      <c r="G171" s="47">
        <f>F171/F176</f>
        <v>3.7610856315888209E-2</v>
      </c>
      <c r="H171" s="47">
        <f t="shared" si="36"/>
        <v>5.5999999999999999E-3</v>
      </c>
      <c r="I171" s="47">
        <f t="shared" si="33"/>
        <v>2.1062079536897398E-4</v>
      </c>
      <c r="J171" s="33">
        <f t="shared" si="34"/>
        <v>2.1090974171512371E-4</v>
      </c>
      <c r="L171" s="101" t="s">
        <v>78</v>
      </c>
      <c r="M171" s="102">
        <f>D174</f>
        <v>15262.048655561166</v>
      </c>
      <c r="N171" s="103">
        <f>M171/M172</f>
        <v>0.59634720548851672</v>
      </c>
      <c r="O171" s="100"/>
      <c r="P171" s="149">
        <f>(M172*0.55)-M171</f>
        <v>-1186.1434055611644</v>
      </c>
      <c r="Q171" s="149">
        <f t="shared" si="37"/>
        <v>14075.905250000002</v>
      </c>
      <c r="R171" s="103">
        <f>Q171/Q172</f>
        <v>0.55000000000000004</v>
      </c>
      <c r="S171" s="100"/>
    </row>
    <row r="172" spans="1:19">
      <c r="A172" s="69"/>
      <c r="B172" s="12" t="s">
        <v>22</v>
      </c>
      <c r="C172" s="12"/>
      <c r="D172" s="70">
        <f t="shared" si="35"/>
        <v>7943.3554525545842</v>
      </c>
      <c r="E172" s="28"/>
      <c r="F172" s="28">
        <f t="shared" si="32"/>
        <v>7943.3554525545842</v>
      </c>
      <c r="G172" s="47">
        <f>F172/F176</f>
        <v>0.23347133616948962</v>
      </c>
      <c r="H172" s="47">
        <f t="shared" si="36"/>
        <v>0</v>
      </c>
      <c r="I172" s="47">
        <f t="shared" si="33"/>
        <v>0</v>
      </c>
      <c r="J172" s="33">
        <f t="shared" si="34"/>
        <v>0</v>
      </c>
      <c r="L172" s="99"/>
      <c r="M172" s="102">
        <f>SUM(M169:M171)</f>
        <v>25592.555</v>
      </c>
      <c r="N172" s="100"/>
      <c r="O172" s="100"/>
      <c r="P172" s="100"/>
      <c r="Q172" s="149">
        <f>SUM(Q169:Q171)</f>
        <v>25592.555</v>
      </c>
      <c r="R172" s="100"/>
      <c r="S172" s="100"/>
    </row>
    <row r="173" spans="1:19">
      <c r="A173" s="69"/>
      <c r="B173" s="12" t="s">
        <v>23</v>
      </c>
      <c r="C173" s="12"/>
      <c r="D173" s="70">
        <f t="shared" si="35"/>
        <v>100.559</v>
      </c>
      <c r="E173" s="28"/>
      <c r="F173" s="28">
        <f t="shared" si="32"/>
        <v>100.559</v>
      </c>
      <c r="G173" s="48">
        <f>F173/F176</f>
        <v>2.9556330739696777E-3</v>
      </c>
      <c r="H173" s="47">
        <f t="shared" si="36"/>
        <v>8.8700000000000001E-2</v>
      </c>
      <c r="I173" s="49">
        <f t="shared" si="33"/>
        <v>2.6216465366111043E-4</v>
      </c>
      <c r="J173" s="33">
        <f t="shared" si="34"/>
        <v>2.6252431196850727E-4</v>
      </c>
      <c r="L173" s="99"/>
      <c r="M173" s="99"/>
      <c r="N173" s="100"/>
      <c r="O173" s="100"/>
      <c r="P173" s="100"/>
      <c r="Q173" s="100"/>
      <c r="R173" s="100"/>
      <c r="S173" s="100"/>
    </row>
    <row r="174" spans="1:19">
      <c r="A174" s="69"/>
      <c r="B174" s="12" t="s">
        <v>8</v>
      </c>
      <c r="C174" s="12"/>
      <c r="D174" s="71">
        <f t="shared" si="35"/>
        <v>15262.048655561166</v>
      </c>
      <c r="E174" s="50">
        <f>P171</f>
        <v>-1186.1434055611644</v>
      </c>
      <c r="F174" s="50">
        <f t="shared" si="32"/>
        <v>14075.905250000002</v>
      </c>
      <c r="G174" s="51">
        <f>F174/F176</f>
        <v>0.41371941947477031</v>
      </c>
      <c r="H174" s="47">
        <f t="shared" si="36"/>
        <v>0.09</v>
      </c>
      <c r="I174" s="52">
        <f t="shared" si="33"/>
        <v>3.7234747752729329E-2</v>
      </c>
      <c r="J174" s="51">
        <f>+I174*1.63024</f>
        <v>6.0701575176409457E-2</v>
      </c>
      <c r="L174" s="99"/>
      <c r="M174" s="99"/>
      <c r="N174" s="100"/>
      <c r="O174" s="100"/>
      <c r="P174" s="100"/>
      <c r="Q174" s="100"/>
      <c r="R174" s="100"/>
      <c r="S174" s="100"/>
    </row>
    <row r="175" spans="1:19">
      <c r="A175" s="69"/>
      <c r="B175" s="12"/>
      <c r="C175" s="12"/>
      <c r="D175" s="12"/>
      <c r="E175" s="28"/>
      <c r="F175" s="72"/>
      <c r="G175" s="73"/>
      <c r="H175" s="74"/>
      <c r="I175" s="74"/>
      <c r="J175" s="74"/>
    </row>
    <row r="176" spans="1:19" ht="13.5" thickBot="1">
      <c r="A176" s="29"/>
      <c r="B176" s="75" t="s">
        <v>9</v>
      </c>
      <c r="C176" s="75"/>
      <c r="D176" s="76">
        <f>SUM(D169:D175)</f>
        <v>34022.829452554586</v>
      </c>
      <c r="E176" s="148">
        <f>SUM(E169:E175)</f>
        <v>0</v>
      </c>
      <c r="F176" s="77">
        <f>SUM(F169:F174)</f>
        <v>34022.829452554586</v>
      </c>
      <c r="G176" s="64">
        <f>SUM(G169:G174)</f>
        <v>1</v>
      </c>
      <c r="H176" s="64"/>
      <c r="I176" s="64">
        <f>SUM(I169:I174)</f>
        <v>5.1569367981188337E-2</v>
      </c>
      <c r="J176" s="64">
        <f>SUM(J169:J175)</f>
        <v>7.5055860776140099E-2</v>
      </c>
    </row>
    <row r="177" spans="1:10" ht="13.5" thickTop="1">
      <c r="A177" s="29"/>
      <c r="B177" s="75"/>
      <c r="C177" s="75"/>
      <c r="D177" s="75"/>
      <c r="E177" s="12"/>
      <c r="F177" s="12"/>
      <c r="G177" s="33"/>
      <c r="H177" s="33"/>
      <c r="I177" s="33"/>
      <c r="J177" s="33"/>
    </row>
    <row r="178" spans="1:10">
      <c r="A178" s="69"/>
      <c r="B178" s="38" t="s">
        <v>13</v>
      </c>
      <c r="C178" s="38"/>
      <c r="D178" s="38"/>
      <c r="E178" s="12"/>
      <c r="F178" s="12"/>
      <c r="G178" s="33"/>
      <c r="H178" s="33"/>
      <c r="I178" s="33"/>
      <c r="J178" s="33">
        <f>J176-J156</f>
        <v>-4.6536719983025499E-3</v>
      </c>
    </row>
    <row r="179" spans="1:10">
      <c r="A179" s="78"/>
      <c r="B179" s="29" t="s">
        <v>12</v>
      </c>
      <c r="C179" s="29"/>
      <c r="D179" s="29"/>
      <c r="E179" s="29"/>
      <c r="F179" s="29"/>
      <c r="G179" s="29"/>
      <c r="H179" s="29"/>
      <c r="I179" s="68"/>
      <c r="J179" s="65">
        <f>'Exh. LK-27 - Page 2'!D25</f>
        <v>33622.827068319071</v>
      </c>
    </row>
    <row r="180" spans="1:10">
      <c r="A180" s="78"/>
      <c r="B180" s="12"/>
      <c r="C180" s="12"/>
      <c r="D180" s="12"/>
      <c r="E180" s="12"/>
      <c r="F180" s="12"/>
      <c r="G180" s="12"/>
      <c r="H180" s="39"/>
      <c r="I180" s="33"/>
      <c r="J180" s="33"/>
    </row>
    <row r="181" spans="1:10" ht="13.5" thickBot="1">
      <c r="A181" s="29"/>
      <c r="B181" s="12" t="s">
        <v>14</v>
      </c>
      <c r="C181" s="12"/>
      <c r="D181" s="12"/>
      <c r="E181" s="12"/>
      <c r="F181" s="12"/>
      <c r="G181" s="39"/>
      <c r="H181" s="39"/>
      <c r="I181" s="79"/>
      <c r="J181" s="80">
        <f>J179*J178</f>
        <v>-156.46960883160548</v>
      </c>
    </row>
    <row r="182" spans="1:10" ht="13.5" thickTop="1">
      <c r="B182" s="7"/>
      <c r="C182" s="7"/>
      <c r="D182" s="7"/>
      <c r="E182" s="4"/>
      <c r="F182" s="35"/>
      <c r="G182" s="36"/>
      <c r="H182" s="36"/>
      <c r="I182" s="36"/>
      <c r="J182" s="36"/>
    </row>
    <row r="183" spans="1:10">
      <c r="A183" s="78"/>
      <c r="B183" s="12"/>
      <c r="C183" s="12"/>
      <c r="D183" s="12"/>
      <c r="E183" s="12"/>
      <c r="F183" s="91"/>
      <c r="G183" s="39"/>
      <c r="H183" s="93"/>
      <c r="I183" s="79"/>
      <c r="J183" s="59"/>
    </row>
    <row r="184" spans="1:10">
      <c r="A184" s="62" t="s">
        <v>37</v>
      </c>
      <c r="B184" s="83" t="s">
        <v>42</v>
      </c>
      <c r="C184" s="83"/>
      <c r="D184" s="29"/>
      <c r="E184" s="29"/>
      <c r="F184" s="29"/>
      <c r="G184" s="29"/>
      <c r="H184" s="29"/>
      <c r="I184" s="29"/>
      <c r="J184" s="29"/>
    </row>
    <row r="185" spans="1:10">
      <c r="A185" s="29"/>
      <c r="B185" s="83" t="s">
        <v>38</v>
      </c>
      <c r="C185" s="83"/>
      <c r="D185" s="83"/>
      <c r="E185" s="84">
        <v>0.35</v>
      </c>
      <c r="F185" s="29"/>
      <c r="G185" s="29"/>
      <c r="H185" s="29"/>
      <c r="I185" s="29"/>
      <c r="J185" s="29"/>
    </row>
    <row r="186" spans="1:10">
      <c r="A186" s="29"/>
      <c r="B186" s="83" t="s">
        <v>39</v>
      </c>
      <c r="C186" s="83"/>
      <c r="D186" s="83"/>
      <c r="E186" s="84">
        <v>5.5E-2</v>
      </c>
      <c r="F186" s="29"/>
      <c r="G186" s="85"/>
      <c r="H186" s="29"/>
      <c r="I186" s="29"/>
      <c r="J186" s="29"/>
    </row>
    <row r="187" spans="1:10">
      <c r="A187" s="29"/>
      <c r="B187" s="83" t="s">
        <v>40</v>
      </c>
      <c r="C187" s="83"/>
      <c r="D187" s="83"/>
      <c r="E187" s="84">
        <v>6.4999999999999997E-4</v>
      </c>
      <c r="F187" s="29"/>
      <c r="G187" s="29"/>
      <c r="H187" s="85"/>
      <c r="I187" s="29"/>
      <c r="J187" s="29"/>
    </row>
    <row r="188" spans="1:10">
      <c r="A188" s="29"/>
      <c r="B188" s="83" t="s">
        <v>41</v>
      </c>
      <c r="C188" s="83"/>
      <c r="D188" s="83"/>
      <c r="E188" s="84">
        <v>7.2000000000000005E-4</v>
      </c>
      <c r="F188" s="29"/>
      <c r="G188" s="29"/>
      <c r="H188" s="29"/>
      <c r="I188" s="29"/>
      <c r="J188" s="29"/>
    </row>
    <row r="193" spans="10:10">
      <c r="J193" s="204">
        <f>J181+J161+J142+J123+J84+J63+J39</f>
        <v>-831.46073989811293</v>
      </c>
    </row>
  </sheetData>
  <mergeCells count="4">
    <mergeCell ref="A1:J1"/>
    <mergeCell ref="A2:J2"/>
    <mergeCell ref="A3:J3"/>
    <mergeCell ref="A4:J4"/>
  </mergeCells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view="pageLayout" zoomScaleNormal="100" workbookViewId="0">
      <selection activeCell="G9" sqref="G9"/>
    </sheetView>
  </sheetViews>
  <sheetFormatPr defaultRowHeight="12.75"/>
  <cols>
    <col min="1" max="1" width="5.85546875" customWidth="1"/>
    <col min="2" max="2" width="19.28515625" customWidth="1"/>
    <col min="3" max="3" width="4.85546875" customWidth="1"/>
    <col min="4" max="7" width="12.7109375" customWidth="1"/>
    <col min="8" max="8" width="15" customWidth="1"/>
    <col min="9" max="9" width="17.28515625" customWidth="1"/>
    <col min="10" max="10" width="11.85546875" customWidth="1"/>
    <col min="12" max="12" width="9.85546875" bestFit="1" customWidth="1"/>
  </cols>
  <sheetData>
    <row r="1" spans="1:12">
      <c r="A1" s="377" t="s">
        <v>10</v>
      </c>
      <c r="B1" s="377"/>
      <c r="C1" s="377"/>
      <c r="D1" s="377"/>
      <c r="E1" s="377"/>
      <c r="F1" s="377"/>
      <c r="G1" s="377"/>
      <c r="H1" s="377"/>
    </row>
    <row r="2" spans="1:12">
      <c r="A2" s="376" t="s">
        <v>72</v>
      </c>
      <c r="B2" s="376"/>
      <c r="C2" s="376"/>
      <c r="D2" s="376"/>
      <c r="E2" s="376"/>
      <c r="F2" s="376"/>
      <c r="G2" s="376"/>
      <c r="H2" s="376"/>
    </row>
    <row r="3" spans="1:12">
      <c r="A3" s="376" t="s">
        <v>65</v>
      </c>
      <c r="B3" s="376"/>
      <c r="C3" s="376"/>
      <c r="D3" s="376"/>
      <c r="E3" s="376"/>
      <c r="F3" s="376"/>
      <c r="G3" s="376"/>
      <c r="H3" s="376"/>
    </row>
    <row r="4" spans="1:12">
      <c r="A4" s="376" t="s">
        <v>69</v>
      </c>
      <c r="B4" s="377"/>
      <c r="C4" s="377"/>
      <c r="D4" s="377"/>
      <c r="E4" s="377"/>
      <c r="F4" s="377"/>
      <c r="G4" s="377"/>
      <c r="H4" s="377"/>
    </row>
    <row r="5" spans="1:12">
      <c r="A5" s="377" t="s">
        <v>19</v>
      </c>
      <c r="B5" s="377"/>
      <c r="C5" s="377"/>
      <c r="D5" s="377"/>
      <c r="E5" s="377"/>
      <c r="F5" s="377"/>
      <c r="G5" s="377"/>
      <c r="H5" s="377"/>
    </row>
    <row r="7" spans="1:12" ht="12.75" customHeight="1"/>
    <row r="8" spans="1:12">
      <c r="A8" s="54" t="s">
        <v>74</v>
      </c>
    </row>
    <row r="9" spans="1:12">
      <c r="A9" s="3"/>
      <c r="B9" s="4"/>
      <c r="C9" s="4"/>
      <c r="D9" s="5" t="s">
        <v>20</v>
      </c>
      <c r="E9" s="4"/>
      <c r="F9" s="5"/>
      <c r="G9" s="4"/>
      <c r="H9" s="30" t="s">
        <v>37</v>
      </c>
      <c r="I9" s="4"/>
      <c r="J9" s="4"/>
      <c r="K9" s="4"/>
    </row>
    <row r="10" spans="1:12">
      <c r="A10" s="3"/>
      <c r="B10" s="4"/>
      <c r="C10" s="4"/>
      <c r="D10" s="19" t="s">
        <v>25</v>
      </c>
      <c r="E10" s="19" t="s">
        <v>0</v>
      </c>
      <c r="F10" s="19" t="s">
        <v>5</v>
      </c>
      <c r="G10" s="19" t="s">
        <v>1</v>
      </c>
      <c r="H10" s="19" t="s">
        <v>2</v>
      </c>
      <c r="I10" s="4"/>
      <c r="J10" s="4"/>
      <c r="K10" s="4"/>
      <c r="L10" s="96"/>
    </row>
    <row r="11" spans="1:12">
      <c r="A11" s="3"/>
      <c r="B11" s="4"/>
      <c r="C11" s="4"/>
      <c r="D11" s="20" t="s">
        <v>0</v>
      </c>
      <c r="E11" s="20" t="s">
        <v>3</v>
      </c>
      <c r="F11" s="20" t="s">
        <v>24</v>
      </c>
      <c r="G11" s="20" t="s">
        <v>4</v>
      </c>
      <c r="H11" s="21" t="s">
        <v>5</v>
      </c>
      <c r="I11" s="4"/>
      <c r="J11" s="4"/>
      <c r="K11" s="4"/>
      <c r="L11" s="96"/>
    </row>
    <row r="12" spans="1:12">
      <c r="B12" s="4"/>
      <c r="C12" s="4"/>
      <c r="D12" s="4"/>
      <c r="E12" s="4"/>
      <c r="F12" s="4"/>
      <c r="G12" s="4"/>
      <c r="H12" s="4"/>
      <c r="I12" s="4"/>
      <c r="J12" s="4"/>
      <c r="K12" s="4"/>
      <c r="L12" s="96"/>
    </row>
    <row r="13" spans="1:12">
      <c r="B13" s="4" t="s">
        <v>7</v>
      </c>
      <c r="C13" s="4"/>
      <c r="D13" s="28">
        <v>421.15199999999999</v>
      </c>
      <c r="E13" s="47">
        <f>D13/D16</f>
        <v>0.39607454047013346</v>
      </c>
      <c r="F13" s="47">
        <v>4.87E-2</v>
      </c>
      <c r="G13" s="47">
        <f>E13*F13</f>
        <v>1.9288830120895498E-2</v>
      </c>
      <c r="H13" s="33">
        <f>+G13*1/(1-(0.00072+0.00065))</f>
        <v>1.9315292071032813E-2</v>
      </c>
      <c r="I13" s="12" t="s">
        <v>45</v>
      </c>
      <c r="J13" s="55"/>
      <c r="K13" s="4"/>
      <c r="L13" s="96"/>
    </row>
    <row r="14" spans="1:12">
      <c r="B14" s="4" t="s">
        <v>8</v>
      </c>
      <c r="C14" s="4"/>
      <c r="D14" s="50">
        <v>642.16300000000001</v>
      </c>
      <c r="E14" s="51">
        <f>D14/D16</f>
        <v>0.60392545952986643</v>
      </c>
      <c r="F14" s="51">
        <v>0.115</v>
      </c>
      <c r="G14" s="52">
        <f>E14*F14</f>
        <v>6.9451427845934638E-2</v>
      </c>
      <c r="H14" s="51">
        <f>+G14*1.63024</f>
        <v>0.11322249573155647</v>
      </c>
      <c r="I14" s="12" t="s">
        <v>26</v>
      </c>
      <c r="J14" s="4"/>
      <c r="K14" s="4"/>
      <c r="L14" s="96"/>
    </row>
    <row r="15" spans="1:12">
      <c r="B15" s="4"/>
      <c r="C15" s="4"/>
      <c r="D15" s="18"/>
      <c r="E15" s="4"/>
      <c r="F15" s="6"/>
      <c r="G15" s="6"/>
      <c r="H15" s="6"/>
      <c r="I15" s="4"/>
      <c r="J15" s="4"/>
      <c r="K15" s="4"/>
      <c r="L15" s="96"/>
    </row>
    <row r="16" spans="1:12" ht="13.5" thickBot="1">
      <c r="B16" s="7" t="s">
        <v>9</v>
      </c>
      <c r="C16" s="7"/>
      <c r="D16" s="23">
        <f>SUM(D13:D14)</f>
        <v>1063.3150000000001</v>
      </c>
      <c r="E16" s="24">
        <f>SUM(E13:E14)</f>
        <v>0.99999999999999989</v>
      </c>
      <c r="F16" s="24"/>
      <c r="G16" s="24">
        <f>SUM(G13:G14)</f>
        <v>8.8740257966830133E-2</v>
      </c>
      <c r="H16" s="24">
        <f>SUM(H13:H15)</f>
        <v>0.13253778780258929</v>
      </c>
      <c r="I16" s="4"/>
      <c r="J16" s="4"/>
      <c r="K16" s="4"/>
    </row>
    <row r="17" spans="1:14" ht="13.5" thickTop="1">
      <c r="B17" s="7"/>
      <c r="C17" s="7"/>
      <c r="D17" s="35"/>
      <c r="E17" s="36"/>
      <c r="F17" s="36"/>
      <c r="G17" s="36"/>
      <c r="H17" s="36"/>
      <c r="I17" s="4"/>
      <c r="J17" s="4"/>
      <c r="K17" s="4"/>
    </row>
    <row r="18" spans="1:1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67" t="s">
        <v>600</v>
      </c>
      <c r="B20" s="29"/>
      <c r="C20" s="29"/>
      <c r="D20" s="29"/>
      <c r="E20" s="29"/>
      <c r="F20" s="29"/>
      <c r="G20" s="68"/>
      <c r="H20" s="68"/>
      <c r="I20" s="29"/>
      <c r="J20" s="29"/>
      <c r="K20" s="29"/>
      <c r="L20" s="29"/>
      <c r="M20" s="29"/>
      <c r="N20" s="29"/>
    </row>
    <row r="21" spans="1:14">
      <c r="A21" s="67"/>
      <c r="B21" s="56" t="s">
        <v>351</v>
      </c>
      <c r="C21" s="29"/>
      <c r="D21" s="29"/>
      <c r="E21" s="29"/>
      <c r="F21" s="29"/>
      <c r="G21" s="68"/>
      <c r="H21" s="68"/>
      <c r="I21" s="29"/>
      <c r="J21" s="29"/>
      <c r="K21" s="29"/>
      <c r="L21" s="29"/>
      <c r="M21" s="29"/>
      <c r="N21" s="29"/>
    </row>
    <row r="22" spans="1:14">
      <c r="A22" s="69"/>
      <c r="B22" s="12"/>
      <c r="C22" s="40"/>
      <c r="D22" s="40"/>
      <c r="E22" s="12"/>
      <c r="F22" s="39"/>
      <c r="G22" s="12"/>
      <c r="H22" s="62" t="s">
        <v>37</v>
      </c>
      <c r="I22" s="29"/>
      <c r="J22" s="29"/>
      <c r="K22" s="29"/>
      <c r="L22" s="29"/>
      <c r="M22" s="29"/>
      <c r="N22" s="29"/>
    </row>
    <row r="23" spans="1:14">
      <c r="A23" s="69"/>
      <c r="B23" s="12"/>
      <c r="C23" s="40"/>
      <c r="D23" s="40"/>
      <c r="E23" s="40" t="s">
        <v>0</v>
      </c>
      <c r="F23" s="40" t="s">
        <v>5</v>
      </c>
      <c r="G23" s="40" t="s">
        <v>1</v>
      </c>
      <c r="H23" s="40" t="s">
        <v>2</v>
      </c>
      <c r="I23" s="29"/>
      <c r="J23" s="29"/>
      <c r="K23" s="29"/>
      <c r="L23" s="29"/>
      <c r="M23" s="29"/>
      <c r="N23" s="29"/>
    </row>
    <row r="24" spans="1:14">
      <c r="A24" s="69"/>
      <c r="B24" s="12"/>
      <c r="C24" s="40"/>
      <c r="D24" s="40"/>
      <c r="E24" s="60" t="s">
        <v>3</v>
      </c>
      <c r="F24" s="60" t="s">
        <v>24</v>
      </c>
      <c r="G24" s="60" t="s">
        <v>4</v>
      </c>
      <c r="H24" s="63" t="s">
        <v>5</v>
      </c>
      <c r="I24" s="29"/>
      <c r="J24" s="29"/>
      <c r="K24" s="29"/>
      <c r="L24" s="29"/>
      <c r="M24" s="29"/>
      <c r="N24" s="29"/>
    </row>
    <row r="25" spans="1:14">
      <c r="A25" s="69"/>
      <c r="B25" s="12"/>
      <c r="C25" s="41"/>
      <c r="D25" s="41"/>
      <c r="E25" s="12"/>
      <c r="F25" s="12"/>
      <c r="G25" s="12"/>
      <c r="H25" s="12"/>
      <c r="I25" s="29"/>
      <c r="J25" s="29"/>
      <c r="K25" s="29"/>
      <c r="L25" s="29"/>
      <c r="M25" s="29"/>
      <c r="N25" s="29"/>
    </row>
    <row r="26" spans="1:14">
      <c r="A26" s="69"/>
      <c r="B26" s="12" t="s">
        <v>7</v>
      </c>
      <c r="C26" s="44"/>
      <c r="D26" s="43"/>
      <c r="E26" s="47">
        <f>E13</f>
        <v>0.39607454047013346</v>
      </c>
      <c r="F26" s="47">
        <f>'Exh. LK-29'!H111</f>
        <v>4.53E-2</v>
      </c>
      <c r="G26" s="47">
        <f>E26*F26</f>
        <v>1.7942176683297045E-2</v>
      </c>
      <c r="H26" s="33">
        <f>+G26*1/(1-(0.00072+0.00065))</f>
        <v>1.7966791187223542E-2</v>
      </c>
      <c r="I26" s="47"/>
      <c r="J26" s="29"/>
      <c r="K26" s="29"/>
      <c r="L26" s="29"/>
      <c r="M26" s="29"/>
      <c r="N26" s="12"/>
    </row>
    <row r="27" spans="1:14">
      <c r="A27" s="69"/>
      <c r="B27" s="12" t="s">
        <v>8</v>
      </c>
      <c r="C27" s="44"/>
      <c r="D27" s="43"/>
      <c r="E27" s="51">
        <f>E14</f>
        <v>0.60392545952986643</v>
      </c>
      <c r="F27" s="51">
        <v>0.115</v>
      </c>
      <c r="G27" s="52">
        <f>E27*F27</f>
        <v>6.9451427845934638E-2</v>
      </c>
      <c r="H27" s="51">
        <f>+G27*1.63024</f>
        <v>0.11322249573155647</v>
      </c>
      <c r="I27" s="48"/>
      <c r="J27" s="29"/>
      <c r="K27" s="29"/>
      <c r="L27" s="29"/>
      <c r="M27" s="29"/>
      <c r="N27" s="29"/>
    </row>
    <row r="28" spans="1:14">
      <c r="A28" s="69"/>
      <c r="B28" s="12"/>
      <c r="C28" s="41"/>
      <c r="D28" s="86"/>
      <c r="E28" s="12"/>
      <c r="F28" s="33"/>
      <c r="G28" s="33"/>
      <c r="H28" s="33"/>
      <c r="I28" s="29"/>
      <c r="J28" s="29"/>
      <c r="K28" s="29"/>
      <c r="L28" s="29"/>
      <c r="M28" s="29"/>
      <c r="N28" s="29"/>
    </row>
    <row r="29" spans="1:14" ht="13.5" thickBot="1">
      <c r="A29" s="69"/>
      <c r="B29" s="75" t="s">
        <v>9</v>
      </c>
      <c r="C29" s="87"/>
      <c r="D29" s="43"/>
      <c r="E29" s="64">
        <f>SUM(E26:E27)</f>
        <v>0.99999999999999989</v>
      </c>
      <c r="F29" s="64"/>
      <c r="G29" s="64">
        <f>SUM(G26:G27)</f>
        <v>8.7393604529231686E-2</v>
      </c>
      <c r="H29" s="64">
        <f>SUM(H26:H28)</f>
        <v>0.13118928691878001</v>
      </c>
      <c r="I29" s="29"/>
      <c r="J29" s="29"/>
      <c r="K29" s="29"/>
      <c r="L29" s="29"/>
      <c r="M29" s="29"/>
      <c r="N29" s="29"/>
    </row>
    <row r="30" spans="1:14" ht="13.5" thickTop="1">
      <c r="A30" s="29"/>
      <c r="B30" s="75"/>
      <c r="C30" s="75"/>
      <c r="D30" s="12"/>
      <c r="E30" s="33"/>
      <c r="F30" s="33"/>
      <c r="G30" s="33"/>
      <c r="H30" s="33"/>
      <c r="I30" s="29"/>
      <c r="J30" s="29"/>
      <c r="K30" s="29"/>
      <c r="L30" s="29"/>
      <c r="M30" s="29"/>
      <c r="N30" s="29"/>
    </row>
    <row r="31" spans="1:14">
      <c r="A31" s="29"/>
      <c r="B31" s="38" t="s">
        <v>13</v>
      </c>
      <c r="C31" s="38"/>
      <c r="D31" s="12"/>
      <c r="E31" s="33"/>
      <c r="F31" s="33"/>
      <c r="G31" s="33"/>
      <c r="H31" s="33">
        <f>H29-H16</f>
        <v>-1.3485008838092782E-3</v>
      </c>
      <c r="I31" s="29"/>
      <c r="J31" s="29"/>
      <c r="K31" s="29"/>
      <c r="L31" s="29"/>
      <c r="M31" s="29"/>
      <c r="N31" s="29"/>
    </row>
    <row r="32" spans="1:14">
      <c r="A32" s="69"/>
      <c r="B32" s="12" t="s">
        <v>75</v>
      </c>
      <c r="C32" s="29"/>
      <c r="D32" s="29"/>
      <c r="E32" s="29"/>
      <c r="F32" s="29"/>
      <c r="G32" s="68"/>
      <c r="H32" s="65">
        <f>'Exh. LK-35'!D17</f>
        <v>988.19407922869402</v>
      </c>
      <c r="I32" s="29"/>
      <c r="J32" s="29"/>
      <c r="K32" s="29"/>
      <c r="L32" s="29"/>
      <c r="M32" s="29"/>
      <c r="N32" s="29"/>
    </row>
    <row r="33" spans="1:14">
      <c r="A33" s="78"/>
      <c r="B33" s="12"/>
      <c r="C33" s="12"/>
      <c r="D33" s="12"/>
      <c r="E33" s="12"/>
      <c r="F33" s="39"/>
      <c r="G33" s="33"/>
      <c r="H33" s="33"/>
      <c r="I33" s="29"/>
      <c r="J33" s="29"/>
      <c r="K33" s="29"/>
      <c r="L33" s="29"/>
      <c r="M33" s="29"/>
      <c r="N33" s="29"/>
    </row>
    <row r="34" spans="1:14" ht="13.5" thickBot="1">
      <c r="A34" s="78"/>
      <c r="B34" s="12" t="s">
        <v>14</v>
      </c>
      <c r="C34" s="12"/>
      <c r="D34" s="12"/>
      <c r="E34" s="39"/>
      <c r="F34" s="39"/>
      <c r="G34" s="79"/>
      <c r="H34" s="80">
        <f>H32*H31</f>
        <v>-1.3325805892149898</v>
      </c>
      <c r="I34" s="29"/>
      <c r="J34" s="29"/>
      <c r="K34" s="29"/>
      <c r="L34" s="29"/>
      <c r="M34" s="29"/>
      <c r="N34" s="29"/>
    </row>
    <row r="35" spans="1:14" ht="13.5" thickTop="1">
      <c r="A35" s="78"/>
      <c r="B35" s="12"/>
      <c r="C35" s="12"/>
      <c r="D35" s="12"/>
      <c r="E35" s="39"/>
      <c r="F35" s="39"/>
      <c r="G35" s="79"/>
      <c r="H35" s="59"/>
      <c r="I35" s="29"/>
      <c r="J35" s="29"/>
      <c r="K35" s="29"/>
      <c r="L35" s="29"/>
      <c r="M35" s="29"/>
      <c r="N35" s="29"/>
    </row>
    <row r="36" spans="1:14">
      <c r="A36" s="78"/>
      <c r="B36" s="12"/>
      <c r="C36" s="12"/>
      <c r="D36" s="12"/>
      <c r="E36" s="39"/>
      <c r="F36" s="39"/>
      <c r="G36" s="79"/>
      <c r="H36" s="59"/>
      <c r="I36" s="29"/>
      <c r="J36" s="29"/>
      <c r="K36" s="29"/>
      <c r="L36" s="29"/>
      <c r="M36" s="29"/>
      <c r="N36" s="29"/>
    </row>
    <row r="37" spans="1:14">
      <c r="A37" s="67" t="s">
        <v>350</v>
      </c>
      <c r="B37" s="29"/>
      <c r="C37" s="29"/>
      <c r="D37" s="29"/>
      <c r="E37" s="29"/>
      <c r="F37" s="29"/>
      <c r="G37" s="68"/>
      <c r="H37" s="68"/>
      <c r="I37" s="29"/>
      <c r="J37" s="29"/>
      <c r="K37" s="29"/>
      <c r="L37" s="29"/>
      <c r="M37" s="29"/>
      <c r="N37" s="29"/>
    </row>
    <row r="38" spans="1:14">
      <c r="A38" s="69"/>
      <c r="B38" s="12"/>
      <c r="C38" s="40"/>
      <c r="D38" s="40"/>
      <c r="E38" s="12"/>
      <c r="F38" s="39"/>
      <c r="G38" s="12"/>
      <c r="H38" s="62" t="s">
        <v>37</v>
      </c>
      <c r="I38" s="29"/>
      <c r="J38" s="29"/>
      <c r="K38" s="29"/>
      <c r="L38" s="29"/>
      <c r="M38" s="29"/>
      <c r="N38" s="29"/>
    </row>
    <row r="39" spans="1:14">
      <c r="A39" s="69"/>
      <c r="B39" s="12"/>
      <c r="C39" s="40"/>
      <c r="D39" s="40"/>
      <c r="E39" s="40" t="s">
        <v>0</v>
      </c>
      <c r="F39" s="40" t="s">
        <v>5</v>
      </c>
      <c r="G39" s="40" t="s">
        <v>1</v>
      </c>
      <c r="H39" s="40" t="s">
        <v>2</v>
      </c>
      <c r="I39" s="29"/>
      <c r="J39" s="29"/>
      <c r="K39" s="29"/>
      <c r="L39" s="29"/>
      <c r="M39" s="29"/>
      <c r="N39" s="29"/>
    </row>
    <row r="40" spans="1:14">
      <c r="A40" s="69"/>
      <c r="B40" s="12"/>
      <c r="C40" s="40"/>
      <c r="D40" s="40"/>
      <c r="E40" s="60" t="s">
        <v>3</v>
      </c>
      <c r="F40" s="60" t="s">
        <v>24</v>
      </c>
      <c r="G40" s="60" t="s">
        <v>4</v>
      </c>
      <c r="H40" s="63" t="s">
        <v>5</v>
      </c>
      <c r="I40" s="29"/>
      <c r="J40" s="29"/>
      <c r="K40" s="29"/>
      <c r="L40" s="29"/>
      <c r="M40" s="29"/>
      <c r="N40" s="29"/>
    </row>
    <row r="41" spans="1:14">
      <c r="A41" s="69"/>
      <c r="B41" s="12"/>
      <c r="C41" s="41"/>
      <c r="D41" s="41"/>
      <c r="E41" s="12"/>
      <c r="F41" s="12"/>
      <c r="G41" s="12"/>
      <c r="H41" s="12"/>
      <c r="I41" s="29"/>
      <c r="J41" s="29"/>
      <c r="K41" s="29"/>
      <c r="L41" s="29"/>
      <c r="M41" s="29"/>
      <c r="N41" s="29"/>
    </row>
    <row r="42" spans="1:14">
      <c r="A42" s="69"/>
      <c r="B42" s="12" t="s">
        <v>7</v>
      </c>
      <c r="C42" s="44"/>
      <c r="D42" s="43"/>
      <c r="E42" s="47">
        <f>E26</f>
        <v>0.39607454047013346</v>
      </c>
      <c r="F42" s="47">
        <f>F26</f>
        <v>4.53E-2</v>
      </c>
      <c r="G42" s="47">
        <f>E42*F42</f>
        <v>1.7942176683297045E-2</v>
      </c>
      <c r="H42" s="33">
        <f>+G42*1/(1-(0.00072+0.00065))</f>
        <v>1.7966791187223542E-2</v>
      </c>
      <c r="I42" s="29"/>
      <c r="J42" s="29"/>
      <c r="K42" s="29"/>
      <c r="L42" s="29"/>
      <c r="M42" s="29"/>
      <c r="N42" s="29"/>
    </row>
    <row r="43" spans="1:14">
      <c r="A43" s="69"/>
      <c r="B43" s="12" t="s">
        <v>8</v>
      </c>
      <c r="C43" s="44"/>
      <c r="D43" s="43"/>
      <c r="E43" s="51">
        <f>E27</f>
        <v>0.60392545952986643</v>
      </c>
      <c r="F43" s="51">
        <v>0.11</v>
      </c>
      <c r="G43" s="52">
        <f>E43*F43</f>
        <v>6.6431800548285305E-2</v>
      </c>
      <c r="H43" s="51">
        <f>+G43*1.63024</f>
        <v>0.10829977852583662</v>
      </c>
      <c r="I43" s="29"/>
      <c r="J43" s="29"/>
      <c r="K43" s="29"/>
      <c r="L43" s="29"/>
      <c r="M43" s="29"/>
      <c r="N43" s="29"/>
    </row>
    <row r="44" spans="1:14">
      <c r="A44" s="69"/>
      <c r="B44" s="12"/>
      <c r="C44" s="41"/>
      <c r="D44" s="86"/>
      <c r="E44" s="12"/>
      <c r="F44" s="33"/>
      <c r="G44" s="33"/>
      <c r="H44" s="33"/>
      <c r="I44" s="29"/>
      <c r="J44" s="29"/>
      <c r="K44" s="29"/>
      <c r="L44" s="29"/>
      <c r="M44" s="29"/>
      <c r="N44" s="29"/>
    </row>
    <row r="45" spans="1:14" ht="13.5" thickBot="1">
      <c r="A45" s="69"/>
      <c r="B45" s="75" t="s">
        <v>9</v>
      </c>
      <c r="C45" s="87"/>
      <c r="D45" s="43"/>
      <c r="E45" s="64">
        <f>SUM(E42:E43)</f>
        <v>0.99999999999999989</v>
      </c>
      <c r="F45" s="64"/>
      <c r="G45" s="64">
        <f>SUM(G42:G43)</f>
        <v>8.4373977231582353E-2</v>
      </c>
      <c r="H45" s="64">
        <f>SUM(H42:H44)</f>
        <v>0.12626656971306016</v>
      </c>
    </row>
    <row r="46" spans="1:14" ht="13.5" thickTop="1">
      <c r="A46" s="29"/>
      <c r="B46" s="75"/>
      <c r="C46" s="75"/>
      <c r="D46" s="12"/>
      <c r="E46" s="33"/>
      <c r="F46" s="33"/>
      <c r="G46" s="33"/>
      <c r="H46" s="33"/>
    </row>
    <row r="47" spans="1:14">
      <c r="A47" s="29"/>
      <c r="B47" s="38" t="s">
        <v>13</v>
      </c>
      <c r="C47" s="38"/>
      <c r="D47" s="12"/>
      <c r="E47" s="33"/>
      <c r="F47" s="33"/>
      <c r="G47" s="33"/>
      <c r="H47" s="33">
        <f>H45-H29</f>
        <v>-4.9227172057198509E-3</v>
      </c>
    </row>
    <row r="48" spans="1:14">
      <c r="A48" s="69"/>
      <c r="B48" s="29" t="s">
        <v>12</v>
      </c>
      <c r="C48" s="29"/>
      <c r="D48" s="29"/>
      <c r="E48" s="29"/>
      <c r="F48" s="29"/>
      <c r="G48" s="68"/>
      <c r="H48" s="65">
        <f>'Exh. LK-35'!D17</f>
        <v>988.19407922869402</v>
      </c>
    </row>
    <row r="49" spans="1:8">
      <c r="A49" s="78"/>
      <c r="B49" s="12"/>
      <c r="C49" s="12"/>
      <c r="D49" s="12"/>
      <c r="E49" s="12"/>
      <c r="F49" s="39"/>
      <c r="G49" s="33"/>
      <c r="H49" s="33"/>
    </row>
    <row r="50" spans="1:8" ht="13.5" thickBot="1">
      <c r="A50" s="78"/>
      <c r="B50" s="12" t="s">
        <v>14</v>
      </c>
      <c r="C50" s="12"/>
      <c r="D50" s="12"/>
      <c r="E50" s="39"/>
      <c r="F50" s="39"/>
      <c r="G50" s="79"/>
      <c r="H50" s="80">
        <f>H48*H47</f>
        <v>-4.8645999964095772</v>
      </c>
    </row>
    <row r="51" spans="1:8" ht="13.5" thickTop="1">
      <c r="A51" s="78"/>
      <c r="B51" s="12"/>
      <c r="C51" s="12"/>
      <c r="D51" s="12"/>
      <c r="E51" s="39"/>
      <c r="F51" s="39"/>
      <c r="G51" s="79"/>
      <c r="H51" s="59"/>
    </row>
    <row r="52" spans="1:8">
      <c r="A52" s="78"/>
      <c r="B52" s="12"/>
      <c r="C52" s="12"/>
      <c r="D52" s="12"/>
      <c r="E52" s="39"/>
      <c r="F52" s="39"/>
      <c r="G52" s="79"/>
      <c r="H52" s="59"/>
    </row>
    <row r="53" spans="1:8">
      <c r="A53" s="78"/>
      <c r="B53" s="12"/>
      <c r="C53" s="12"/>
      <c r="D53" s="12"/>
      <c r="E53" s="39"/>
      <c r="F53" s="39"/>
      <c r="G53" s="79"/>
      <c r="H53" s="59"/>
    </row>
    <row r="54" spans="1:8">
      <c r="A54" s="78"/>
      <c r="B54" s="12"/>
      <c r="C54" s="12"/>
      <c r="D54" s="12"/>
      <c r="E54" s="39"/>
      <c r="F54" s="39"/>
      <c r="G54" s="79"/>
      <c r="H54" s="59"/>
    </row>
    <row r="55" spans="1:8">
      <c r="A55" s="78"/>
      <c r="B55" s="12"/>
      <c r="C55" s="12"/>
      <c r="D55" s="12"/>
      <c r="E55" s="39"/>
      <c r="F55" s="39"/>
      <c r="G55" s="79"/>
      <c r="H55" s="59"/>
    </row>
    <row r="56" spans="1:8">
      <c r="A56" s="78"/>
      <c r="B56" s="12"/>
      <c r="C56" s="12"/>
      <c r="D56" s="12"/>
      <c r="E56" s="39"/>
      <c r="F56" s="39"/>
      <c r="G56" s="79"/>
      <c r="H56" s="59"/>
    </row>
    <row r="57" spans="1:8">
      <c r="A57" s="78"/>
      <c r="B57" s="12"/>
      <c r="C57" s="12"/>
      <c r="D57" s="12"/>
      <c r="E57" s="39"/>
      <c r="F57" s="39"/>
      <c r="G57" s="79"/>
      <c r="H57" s="59"/>
    </row>
    <row r="58" spans="1:8">
      <c r="A58" s="78"/>
      <c r="B58" s="12"/>
      <c r="C58" s="12"/>
      <c r="D58" s="12"/>
      <c r="E58" s="39"/>
      <c r="F58" s="39"/>
      <c r="G58" s="79"/>
      <c r="H58" s="59"/>
    </row>
    <row r="59" spans="1:8">
      <c r="A59" s="67" t="s">
        <v>352</v>
      </c>
      <c r="B59" s="29"/>
      <c r="C59" s="29"/>
      <c r="D59" s="29"/>
      <c r="E59" s="29"/>
      <c r="F59" s="29"/>
      <c r="G59" s="68"/>
      <c r="H59" s="68"/>
    </row>
    <row r="60" spans="1:8">
      <c r="A60" s="69"/>
      <c r="B60" s="12"/>
      <c r="C60" s="40"/>
      <c r="D60" s="40"/>
      <c r="E60" s="12"/>
      <c r="F60" s="39"/>
      <c r="G60" s="12"/>
      <c r="H60" s="62" t="s">
        <v>37</v>
      </c>
    </row>
    <row r="61" spans="1:8">
      <c r="A61" s="69"/>
      <c r="B61" s="12"/>
      <c r="C61" s="40"/>
      <c r="D61" s="40"/>
      <c r="E61" s="40" t="s">
        <v>0</v>
      </c>
      <c r="F61" s="40" t="s">
        <v>5</v>
      </c>
      <c r="G61" s="40" t="s">
        <v>1</v>
      </c>
      <c r="H61" s="40" t="s">
        <v>2</v>
      </c>
    </row>
    <row r="62" spans="1:8">
      <c r="A62" s="69"/>
      <c r="B62" s="12"/>
      <c r="C62" s="40"/>
      <c r="D62" s="40"/>
      <c r="E62" s="60" t="s">
        <v>3</v>
      </c>
      <c r="F62" s="60" t="s">
        <v>24</v>
      </c>
      <c r="G62" s="60" t="s">
        <v>4</v>
      </c>
      <c r="H62" s="63" t="s">
        <v>5</v>
      </c>
    </row>
    <row r="63" spans="1:8">
      <c r="A63" s="69"/>
      <c r="B63" s="12"/>
      <c r="C63" s="41"/>
      <c r="D63" s="41"/>
      <c r="E63" s="12"/>
      <c r="F63" s="12"/>
      <c r="G63" s="12"/>
      <c r="H63" s="12"/>
    </row>
    <row r="64" spans="1:8">
      <c r="A64" s="69"/>
      <c r="B64" s="12" t="s">
        <v>7</v>
      </c>
      <c r="C64" s="44"/>
      <c r="D64" s="43"/>
      <c r="E64" s="47">
        <f>E26</f>
        <v>0.39607454047013346</v>
      </c>
      <c r="F64" s="47">
        <f>F26</f>
        <v>4.53E-2</v>
      </c>
      <c r="G64" s="47">
        <f>E64*F64</f>
        <v>1.7942176683297045E-2</v>
      </c>
      <c r="H64" s="33">
        <f>+G64*1/(1-(0.00072+0.00065))</f>
        <v>1.7966791187223542E-2</v>
      </c>
    </row>
    <row r="65" spans="1:8">
      <c r="A65" s="69"/>
      <c r="B65" s="12" t="s">
        <v>8</v>
      </c>
      <c r="C65" s="44"/>
      <c r="D65" s="43"/>
      <c r="E65" s="51">
        <f>E27</f>
        <v>0.60392545952986643</v>
      </c>
      <c r="F65" s="51">
        <v>0.09</v>
      </c>
      <c r="G65" s="52">
        <f>E65*F65</f>
        <v>5.4353291357687974E-2</v>
      </c>
      <c r="H65" s="51">
        <f>+G65*1.63024</f>
        <v>8.8608909702957234E-2</v>
      </c>
    </row>
    <row r="66" spans="1:8">
      <c r="A66" s="69"/>
      <c r="B66" s="12"/>
      <c r="C66" s="41"/>
      <c r="D66" s="86"/>
      <c r="E66" s="12"/>
      <c r="F66" s="33"/>
      <c r="G66" s="33"/>
      <c r="H66" s="33"/>
    </row>
    <row r="67" spans="1:8" ht="13.5" thickBot="1">
      <c r="A67" s="69"/>
      <c r="B67" s="75" t="s">
        <v>9</v>
      </c>
      <c r="C67" s="87"/>
      <c r="D67" s="43"/>
      <c r="E67" s="64">
        <f>SUM(E64:E65)</f>
        <v>0.99999999999999989</v>
      </c>
      <c r="F67" s="64"/>
      <c r="G67" s="64">
        <f>SUM(G64:G65)</f>
        <v>7.2295468040985023E-2</v>
      </c>
      <c r="H67" s="64">
        <f>SUM(H64:H66)</f>
        <v>0.10657570089018077</v>
      </c>
    </row>
    <row r="68" spans="1:8" ht="13.5" thickTop="1">
      <c r="A68" s="29"/>
      <c r="B68" s="75"/>
      <c r="C68" s="75"/>
      <c r="D68" s="12"/>
      <c r="E68" s="33"/>
      <c r="F68" s="33"/>
      <c r="G68" s="33"/>
      <c r="H68" s="33"/>
    </row>
    <row r="69" spans="1:8">
      <c r="A69" s="29"/>
      <c r="B69" s="38" t="s">
        <v>13</v>
      </c>
      <c r="C69" s="38"/>
      <c r="D69" s="12"/>
      <c r="E69" s="33"/>
      <c r="F69" s="33"/>
      <c r="G69" s="33"/>
      <c r="H69" s="33">
        <f>H67-H45</f>
        <v>-1.969086882287939E-2</v>
      </c>
    </row>
    <row r="70" spans="1:8">
      <c r="A70" s="69"/>
      <c r="B70" s="29" t="s">
        <v>12</v>
      </c>
      <c r="C70" s="29"/>
      <c r="D70" s="29"/>
      <c r="E70" s="29"/>
      <c r="F70" s="29"/>
      <c r="G70" s="68"/>
      <c r="H70" s="65">
        <f>'Exh. LK-35'!D17</f>
        <v>988.19407922869402</v>
      </c>
    </row>
    <row r="71" spans="1:8">
      <c r="A71" s="78"/>
      <c r="B71" s="12"/>
      <c r="C71" s="12"/>
      <c r="D71" s="12"/>
      <c r="E71" s="12"/>
      <c r="F71" s="39"/>
      <c r="G71" s="33"/>
      <c r="H71" s="33"/>
    </row>
    <row r="72" spans="1:8" ht="13.5" thickBot="1">
      <c r="A72" s="78"/>
      <c r="B72" s="12" t="s">
        <v>14</v>
      </c>
      <c r="C72" s="12"/>
      <c r="D72" s="12"/>
      <c r="E72" s="39"/>
      <c r="F72" s="39"/>
      <c r="G72" s="79"/>
      <c r="H72" s="80">
        <f>H70*H69</f>
        <v>-19.458399985638298</v>
      </c>
    </row>
    <row r="73" spans="1:8" ht="14.25" thickTop="1" thickBot="1">
      <c r="A73" s="29"/>
      <c r="B73" s="29"/>
      <c r="C73" s="29"/>
      <c r="D73" s="91" t="s">
        <v>73</v>
      </c>
      <c r="E73" s="39"/>
      <c r="F73" s="92">
        <f>H72/2</f>
        <v>-9.729199992819149</v>
      </c>
      <c r="G73" s="29"/>
      <c r="H73" s="29"/>
    </row>
    <row r="74" spans="1:8" ht="13.5" thickTop="1">
      <c r="A74" s="29"/>
      <c r="B74" s="29"/>
      <c r="C74" s="29"/>
      <c r="D74" s="91"/>
      <c r="E74" s="39"/>
      <c r="F74" s="93"/>
      <c r="G74" s="29"/>
      <c r="H74" s="29"/>
    </row>
    <row r="75" spans="1:8">
      <c r="A75" s="29"/>
      <c r="B75" s="29"/>
      <c r="C75" s="29"/>
      <c r="D75" s="91"/>
      <c r="E75" s="39"/>
      <c r="F75" s="93"/>
      <c r="G75" s="29"/>
      <c r="H75" s="29"/>
    </row>
    <row r="76" spans="1:8">
      <c r="A76" s="67" t="s">
        <v>577</v>
      </c>
      <c r="B76" s="29"/>
      <c r="C76" s="29"/>
      <c r="D76" s="29"/>
      <c r="E76" s="29"/>
      <c r="F76" s="29"/>
      <c r="G76" s="68"/>
      <c r="H76" s="68"/>
    </row>
    <row r="77" spans="1:8">
      <c r="A77" s="67"/>
      <c r="B77" s="56" t="s">
        <v>353</v>
      </c>
      <c r="C77" s="29"/>
      <c r="D77" s="29"/>
      <c r="E77" s="29"/>
      <c r="F77" s="29"/>
      <c r="G77" s="68"/>
      <c r="H77" s="68"/>
    </row>
    <row r="78" spans="1:8">
      <c r="A78" s="69"/>
      <c r="B78" s="12"/>
      <c r="C78" s="40"/>
      <c r="D78" s="40"/>
      <c r="E78" s="12"/>
      <c r="F78" s="39"/>
      <c r="G78" s="12"/>
      <c r="H78" s="62" t="s">
        <v>37</v>
      </c>
    </row>
    <row r="79" spans="1:8">
      <c r="A79" s="69"/>
      <c r="B79" s="12"/>
      <c r="C79" s="40"/>
      <c r="D79" s="40"/>
      <c r="E79" s="40" t="s">
        <v>0</v>
      </c>
      <c r="F79" s="40" t="s">
        <v>5</v>
      </c>
      <c r="G79" s="40" t="s">
        <v>1</v>
      </c>
      <c r="H79" s="40" t="s">
        <v>2</v>
      </c>
    </row>
    <row r="80" spans="1:8">
      <c r="A80" s="69"/>
      <c r="B80" s="12"/>
      <c r="C80" s="40"/>
      <c r="D80" s="40"/>
      <c r="E80" s="60" t="s">
        <v>3</v>
      </c>
      <c r="F80" s="60" t="s">
        <v>24</v>
      </c>
      <c r="G80" s="60" t="s">
        <v>4</v>
      </c>
      <c r="H80" s="63" t="s">
        <v>5</v>
      </c>
    </row>
    <row r="81" spans="1:8">
      <c r="A81" s="69"/>
      <c r="B81" s="12"/>
      <c r="C81" s="41"/>
      <c r="D81" s="41"/>
      <c r="E81" s="12"/>
      <c r="F81" s="12"/>
      <c r="G81" s="12"/>
      <c r="H81" s="12"/>
    </row>
    <row r="82" spans="1:8">
      <c r="A82" s="69"/>
      <c r="B82" s="152" t="s">
        <v>6</v>
      </c>
      <c r="C82" s="41"/>
      <c r="D82" s="41"/>
      <c r="E82" s="366">
        <v>0.05</v>
      </c>
      <c r="F82" s="47">
        <v>5.5999999999999999E-3</v>
      </c>
      <c r="G82" s="47">
        <f>E82*F82</f>
        <v>2.8000000000000003E-4</v>
      </c>
      <c r="H82" s="33">
        <f>+G82*1/(1-(0.00072+0.00065))</f>
        <v>2.8038412625296658E-4</v>
      </c>
    </row>
    <row r="83" spans="1:8">
      <c r="A83" s="69"/>
      <c r="B83" s="12" t="s">
        <v>7</v>
      </c>
      <c r="C83" s="44"/>
      <c r="D83" s="43"/>
      <c r="E83" s="47">
        <v>0.4</v>
      </c>
      <c r="F83" s="47">
        <f>F64</f>
        <v>4.53E-2</v>
      </c>
      <c r="G83" s="47">
        <f>E83*F83</f>
        <v>1.8120000000000001E-2</v>
      </c>
      <c r="H83" s="33">
        <f>+G83*1/(1-(0.00072+0.00065))</f>
        <v>1.8144858456084836E-2</v>
      </c>
    </row>
    <row r="84" spans="1:8">
      <c r="A84" s="69"/>
      <c r="B84" s="12" t="s">
        <v>8</v>
      </c>
      <c r="C84" s="44"/>
      <c r="D84" s="43"/>
      <c r="E84" s="51">
        <v>0.55000000000000004</v>
      </c>
      <c r="F84" s="51">
        <f>F65</f>
        <v>0.09</v>
      </c>
      <c r="G84" s="52">
        <f>E84*F84</f>
        <v>4.9500000000000002E-2</v>
      </c>
      <c r="H84" s="51">
        <f>+G84*1.63024</f>
        <v>8.0696879999999999E-2</v>
      </c>
    </row>
    <row r="85" spans="1:8">
      <c r="A85" s="69"/>
      <c r="B85" s="12"/>
      <c r="C85" s="41"/>
      <c r="D85" s="86"/>
      <c r="E85" s="12"/>
      <c r="F85" s="33"/>
      <c r="G85" s="33"/>
      <c r="H85" s="33"/>
    </row>
    <row r="86" spans="1:8" ht="13.5" thickBot="1">
      <c r="A86" s="69"/>
      <c r="B86" s="75" t="s">
        <v>9</v>
      </c>
      <c r="C86" s="87"/>
      <c r="D86" s="43"/>
      <c r="E86" s="64">
        <f>SUM(E82:E84)</f>
        <v>1</v>
      </c>
      <c r="F86" s="64"/>
      <c r="G86" s="64">
        <f>SUM(G82:G84)</f>
        <v>6.7900000000000002E-2</v>
      </c>
      <c r="H86" s="64">
        <f>SUM(H82:H85)</f>
        <v>9.9122122582337796E-2</v>
      </c>
    </row>
    <row r="87" spans="1:8" ht="13.5" thickTop="1">
      <c r="A87" s="29"/>
      <c r="B87" s="75"/>
      <c r="C87" s="75"/>
      <c r="D87" s="12"/>
      <c r="E87" s="33"/>
      <c r="F87" s="33"/>
      <c r="G87" s="33"/>
      <c r="H87" s="33"/>
    </row>
    <row r="88" spans="1:8">
      <c r="A88" s="29"/>
      <c r="B88" s="38" t="s">
        <v>13</v>
      </c>
      <c r="C88" s="38"/>
      <c r="D88" s="12"/>
      <c r="E88" s="33"/>
      <c r="F88" s="33"/>
      <c r="G88" s="33"/>
      <c r="H88" s="33">
        <f>H86-H67</f>
        <v>-7.4535783078429757E-3</v>
      </c>
    </row>
    <row r="89" spans="1:8">
      <c r="A89" s="69"/>
      <c r="B89" s="12" t="s">
        <v>75</v>
      </c>
      <c r="C89" s="29"/>
      <c r="D89" s="29"/>
      <c r="E89" s="29"/>
      <c r="F89" s="29"/>
      <c r="G89" s="68"/>
      <c r="H89" s="65">
        <f>'Exh. LK-35'!D17</f>
        <v>988.19407922869402</v>
      </c>
    </row>
    <row r="90" spans="1:8">
      <c r="A90" s="78"/>
      <c r="B90" s="12"/>
      <c r="C90" s="12"/>
      <c r="D90" s="12"/>
      <c r="E90" s="12"/>
      <c r="F90" s="39"/>
      <c r="G90" s="33"/>
      <c r="H90" s="33"/>
    </row>
    <row r="91" spans="1:8" ht="13.5" thickBot="1">
      <c r="A91" s="78"/>
      <c r="B91" s="12" t="s">
        <v>14</v>
      </c>
      <c r="C91" s="12"/>
      <c r="D91" s="12"/>
      <c r="E91" s="39"/>
      <c r="F91" s="39"/>
      <c r="G91" s="79"/>
      <c r="H91" s="80">
        <f>H89*H88</f>
        <v>-7.3655819528778563</v>
      </c>
    </row>
    <row r="92" spans="1:8" ht="13.5" thickTop="1">
      <c r="A92" s="29"/>
      <c r="B92" s="29"/>
      <c r="C92" s="29"/>
      <c r="D92" s="91"/>
      <c r="E92" s="39"/>
      <c r="F92" s="93"/>
      <c r="G92" s="29"/>
      <c r="H92" s="29"/>
    </row>
    <row r="93" spans="1:8">
      <c r="A93" s="29"/>
      <c r="B93" s="29"/>
      <c r="C93" s="29"/>
      <c r="D93" s="91"/>
      <c r="E93" s="39"/>
      <c r="F93" s="93"/>
      <c r="G93" s="29"/>
      <c r="H93" s="29"/>
    </row>
    <row r="94" spans="1:8">
      <c r="A94" s="29"/>
      <c r="B94" s="29"/>
      <c r="C94" s="29"/>
      <c r="D94" s="91"/>
      <c r="E94" s="39"/>
      <c r="F94" s="93"/>
      <c r="G94" s="29"/>
      <c r="H94" s="29"/>
    </row>
    <row r="95" spans="1:8">
      <c r="A95" s="29"/>
      <c r="B95" s="29"/>
      <c r="C95" s="29"/>
      <c r="D95" s="91"/>
      <c r="E95" s="39"/>
      <c r="F95" s="93"/>
      <c r="G95" s="29"/>
      <c r="H95" s="29"/>
    </row>
    <row r="96" spans="1:8">
      <c r="A96" s="62" t="s">
        <v>37</v>
      </c>
      <c r="B96" s="219" t="s">
        <v>354</v>
      </c>
      <c r="C96" s="29"/>
      <c r="D96" s="29"/>
      <c r="E96" s="29"/>
      <c r="F96" s="29"/>
      <c r="G96" s="29"/>
      <c r="H96" s="29"/>
    </row>
    <row r="97" spans="1:8">
      <c r="A97" s="62"/>
      <c r="B97" s="219" t="s">
        <v>355</v>
      </c>
      <c r="C97" s="29"/>
      <c r="D97" s="29"/>
      <c r="E97" s="29"/>
      <c r="F97" s="29"/>
      <c r="G97" s="29"/>
      <c r="H97" s="29"/>
    </row>
    <row r="98" spans="1:8">
      <c r="A98" s="29"/>
      <c r="B98" s="83" t="s">
        <v>38</v>
      </c>
      <c r="C98" s="83"/>
      <c r="D98" s="29"/>
      <c r="E98" s="84">
        <v>0.35</v>
      </c>
      <c r="F98" s="29"/>
      <c r="G98" s="29"/>
      <c r="H98" s="29"/>
    </row>
    <row r="99" spans="1:8">
      <c r="A99" s="29"/>
      <c r="B99" s="83" t="s">
        <v>39</v>
      </c>
      <c r="C99" s="83"/>
      <c r="D99" s="29"/>
      <c r="E99" s="84">
        <v>5.5E-2</v>
      </c>
      <c r="F99" s="29"/>
      <c r="G99" s="29"/>
      <c r="H99" s="29"/>
    </row>
    <row r="100" spans="1:8">
      <c r="A100" s="29"/>
      <c r="B100" s="83" t="s">
        <v>40</v>
      </c>
      <c r="C100" s="83"/>
      <c r="D100" s="29"/>
      <c r="E100" s="84">
        <v>6.4999999999999997E-4</v>
      </c>
      <c r="F100" s="85"/>
      <c r="G100" s="29"/>
      <c r="H100" s="29"/>
    </row>
    <row r="101" spans="1:8">
      <c r="A101" s="29"/>
      <c r="B101" s="83" t="s">
        <v>41</v>
      </c>
      <c r="C101" s="83"/>
      <c r="D101" s="29"/>
      <c r="E101" s="84">
        <v>7.2000000000000005E-4</v>
      </c>
      <c r="F101" s="29"/>
      <c r="G101" s="29"/>
      <c r="H101" s="29"/>
    </row>
    <row r="102" spans="1:8">
      <c r="A102" s="29"/>
      <c r="B102" s="29"/>
      <c r="C102" s="29"/>
      <c r="D102" s="29"/>
      <c r="E102" s="29"/>
      <c r="F102" s="29"/>
      <c r="G102" s="29"/>
      <c r="H102" s="29"/>
    </row>
    <row r="103" spans="1:8">
      <c r="A103" s="29"/>
      <c r="B103" s="29"/>
      <c r="C103" s="29"/>
      <c r="D103" s="29"/>
      <c r="E103" s="29"/>
      <c r="F103" s="29"/>
      <c r="G103" s="29"/>
      <c r="H103" s="29"/>
    </row>
    <row r="104" spans="1:8">
      <c r="A104" s="29"/>
      <c r="B104" s="29"/>
      <c r="C104" s="29"/>
      <c r="D104" s="29"/>
      <c r="E104" s="29"/>
      <c r="F104" s="29"/>
      <c r="G104" s="29"/>
      <c r="H104" s="29"/>
    </row>
    <row r="105" spans="1:8">
      <c r="A105" s="29"/>
      <c r="B105" s="29"/>
      <c r="C105" s="29"/>
      <c r="D105" s="29"/>
      <c r="E105" s="29"/>
      <c r="F105" s="29"/>
      <c r="G105" s="29"/>
      <c r="H105" s="29"/>
    </row>
    <row r="106" spans="1:8">
      <c r="A106" s="29"/>
      <c r="B106" s="29"/>
      <c r="C106" s="29"/>
      <c r="D106" s="29"/>
      <c r="E106" s="29"/>
      <c r="F106" s="29"/>
      <c r="G106" s="29"/>
      <c r="H106" s="29"/>
    </row>
    <row r="107" spans="1:8">
      <c r="A107" s="29"/>
      <c r="B107" s="29"/>
      <c r="C107" s="29"/>
      <c r="D107" s="29"/>
      <c r="E107" s="29"/>
      <c r="F107" s="29"/>
      <c r="G107" s="29"/>
      <c r="H107" s="29"/>
    </row>
    <row r="108" spans="1:8">
      <c r="A108" s="29"/>
      <c r="B108" s="29"/>
      <c r="C108" s="29"/>
      <c r="D108" s="29"/>
      <c r="E108" s="29"/>
      <c r="F108" s="29"/>
      <c r="G108" s="29"/>
      <c r="H108" s="29"/>
    </row>
    <row r="109" spans="1:8">
      <c r="A109" s="29"/>
      <c r="B109" s="29"/>
      <c r="C109" s="29"/>
      <c r="D109" s="29"/>
      <c r="E109" s="29"/>
      <c r="F109" s="29"/>
      <c r="G109" s="29"/>
      <c r="H109" s="29"/>
    </row>
    <row r="110" spans="1:8">
      <c r="A110" s="29"/>
      <c r="B110" s="29"/>
      <c r="C110" s="29"/>
      <c r="D110" s="29"/>
      <c r="E110" s="29"/>
      <c r="F110" s="29"/>
      <c r="G110" s="29"/>
      <c r="H110" s="29"/>
    </row>
    <row r="111" spans="1:8">
      <c r="A111" s="29"/>
      <c r="B111" s="29"/>
      <c r="C111" s="29"/>
      <c r="D111" s="29"/>
      <c r="E111" s="29"/>
      <c r="F111" s="29"/>
      <c r="G111" s="29"/>
      <c r="H111" s="29"/>
    </row>
    <row r="112" spans="1:8">
      <c r="A112" s="29"/>
      <c r="B112" s="29"/>
      <c r="C112" s="29"/>
      <c r="D112" s="29"/>
      <c r="E112" s="29"/>
      <c r="F112" s="29"/>
      <c r="G112" s="29"/>
      <c r="H112" s="29"/>
    </row>
    <row r="113" spans="1:8">
      <c r="A113" s="29"/>
      <c r="B113" s="29"/>
      <c r="C113" s="29"/>
      <c r="D113" s="29"/>
      <c r="E113" s="29"/>
      <c r="F113" s="29"/>
      <c r="G113" s="29"/>
      <c r="H113" s="29"/>
    </row>
    <row r="114" spans="1:8">
      <c r="A114" s="29"/>
      <c r="B114" s="29"/>
      <c r="C114" s="29"/>
      <c r="D114" s="29"/>
      <c r="E114" s="29"/>
      <c r="F114" s="29"/>
      <c r="G114" s="29"/>
      <c r="H114" s="29"/>
    </row>
    <row r="115" spans="1:8">
      <c r="A115" s="29"/>
      <c r="B115" s="29"/>
      <c r="C115" s="29"/>
      <c r="D115" s="29"/>
      <c r="E115" s="29"/>
      <c r="F115" s="29"/>
      <c r="G115" s="29"/>
      <c r="H115" s="29"/>
    </row>
    <row r="116" spans="1:8">
      <c r="A116" s="29"/>
      <c r="B116" s="29"/>
      <c r="C116" s="29"/>
      <c r="D116" s="29"/>
      <c r="E116" s="29"/>
      <c r="F116" s="29"/>
      <c r="G116" s="29"/>
      <c r="H116" s="29"/>
    </row>
    <row r="117" spans="1:8">
      <c r="A117" s="29"/>
      <c r="B117" s="29"/>
      <c r="C117" s="29"/>
      <c r="D117" s="29"/>
      <c r="E117" s="29"/>
      <c r="F117" s="29"/>
      <c r="G117" s="29"/>
      <c r="H117" s="29"/>
    </row>
    <row r="118" spans="1:8">
      <c r="A118" s="29"/>
      <c r="B118" s="29"/>
      <c r="C118" s="29"/>
      <c r="D118" s="29"/>
      <c r="E118" s="29"/>
      <c r="F118" s="29"/>
      <c r="G118" s="29"/>
      <c r="H118" s="29"/>
    </row>
    <row r="119" spans="1:8">
      <c r="A119" s="29"/>
      <c r="B119" s="29"/>
      <c r="C119" s="29"/>
      <c r="D119" s="29"/>
      <c r="E119" s="29"/>
      <c r="F119" s="29"/>
      <c r="G119" s="29"/>
      <c r="H119" s="29"/>
    </row>
    <row r="120" spans="1:8">
      <c r="A120" s="29"/>
      <c r="B120" s="29"/>
      <c r="C120" s="29"/>
      <c r="D120" s="29"/>
      <c r="E120" s="29"/>
      <c r="F120" s="29"/>
      <c r="G120" s="29"/>
      <c r="H120" s="29"/>
    </row>
  </sheetData>
  <mergeCells count="5">
    <mergeCell ref="A1:H1"/>
    <mergeCell ref="A3:H3"/>
    <mergeCell ref="A4:H4"/>
    <mergeCell ref="A5:H5"/>
    <mergeCell ref="A2:H2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Layout" zoomScaleNormal="100" workbookViewId="0">
      <selection activeCell="G9" sqref="G9"/>
    </sheetView>
  </sheetViews>
  <sheetFormatPr defaultRowHeight="12.75"/>
  <cols>
    <col min="1" max="1" width="9.140625" style="302"/>
    <col min="2" max="2" width="13.140625" style="302" customWidth="1"/>
    <col min="3" max="3" width="11.7109375" style="302" customWidth="1"/>
    <col min="4" max="4" width="12.5703125" style="302" customWidth="1"/>
    <col min="5" max="5" width="9.28515625" style="302" bestFit="1" customWidth="1"/>
    <col min="6" max="6" width="1.5703125" style="302" customWidth="1"/>
    <col min="7" max="7" width="13.140625" style="302" customWidth="1"/>
    <col min="8" max="8" width="1.42578125" style="302" customWidth="1"/>
    <col min="9" max="9" width="11.5703125" style="302" customWidth="1"/>
    <col min="10" max="10" width="1.28515625" style="302" customWidth="1"/>
    <col min="11" max="11" width="15" style="302" customWidth="1"/>
    <col min="12" max="12" width="2.140625" style="302" customWidth="1"/>
    <col min="13" max="13" width="13.7109375" style="302" customWidth="1"/>
    <col min="14" max="245" width="9.140625" style="302"/>
    <col min="246" max="246" width="11.7109375" style="302" customWidth="1"/>
    <col min="247" max="250" width="9.140625" style="302"/>
    <col min="251" max="251" width="15" style="302" customWidth="1"/>
    <col min="252" max="252" width="3.85546875" style="302" customWidth="1"/>
    <col min="253" max="253" width="13.7109375" style="302" customWidth="1"/>
    <col min="254" max="254" width="9.140625" style="302"/>
    <col min="255" max="255" width="10.7109375" style="302" bestFit="1" customWidth="1"/>
    <col min="256" max="501" width="9.140625" style="302"/>
    <col min="502" max="502" width="11.7109375" style="302" customWidth="1"/>
    <col min="503" max="506" width="9.140625" style="302"/>
    <col min="507" max="507" width="15" style="302" customWidth="1"/>
    <col min="508" max="508" width="3.85546875" style="302" customWidth="1"/>
    <col min="509" max="509" width="13.7109375" style="302" customWidth="1"/>
    <col min="510" max="510" width="9.140625" style="302"/>
    <col min="511" max="511" width="10.7109375" style="302" bestFit="1" customWidth="1"/>
    <col min="512" max="757" width="9.140625" style="302"/>
    <col min="758" max="758" width="11.7109375" style="302" customWidth="1"/>
    <col min="759" max="762" width="9.140625" style="302"/>
    <col min="763" max="763" width="15" style="302" customWidth="1"/>
    <col min="764" max="764" width="3.85546875" style="302" customWidth="1"/>
    <col min="765" max="765" width="13.7109375" style="302" customWidth="1"/>
    <col min="766" max="766" width="9.140625" style="302"/>
    <col min="767" max="767" width="10.7109375" style="302" bestFit="1" customWidth="1"/>
    <col min="768" max="1013" width="9.140625" style="302"/>
    <col min="1014" max="1014" width="11.7109375" style="302" customWidth="1"/>
    <col min="1015" max="1018" width="9.140625" style="302"/>
    <col min="1019" max="1019" width="15" style="302" customWidth="1"/>
    <col min="1020" max="1020" width="3.85546875" style="302" customWidth="1"/>
    <col min="1021" max="1021" width="13.7109375" style="302" customWidth="1"/>
    <col min="1022" max="1022" width="9.140625" style="302"/>
    <col min="1023" max="1023" width="10.7109375" style="302" bestFit="1" customWidth="1"/>
    <col min="1024" max="1269" width="9.140625" style="302"/>
    <col min="1270" max="1270" width="11.7109375" style="302" customWidth="1"/>
    <col min="1271" max="1274" width="9.140625" style="302"/>
    <col min="1275" max="1275" width="15" style="302" customWidth="1"/>
    <col min="1276" max="1276" width="3.85546875" style="302" customWidth="1"/>
    <col min="1277" max="1277" width="13.7109375" style="302" customWidth="1"/>
    <col min="1278" max="1278" width="9.140625" style="302"/>
    <col min="1279" max="1279" width="10.7109375" style="302" bestFit="1" customWidth="1"/>
    <col min="1280" max="1525" width="9.140625" style="302"/>
    <col min="1526" max="1526" width="11.7109375" style="302" customWidth="1"/>
    <col min="1527" max="1530" width="9.140625" style="302"/>
    <col min="1531" max="1531" width="15" style="302" customWidth="1"/>
    <col min="1532" max="1532" width="3.85546875" style="302" customWidth="1"/>
    <col min="1533" max="1533" width="13.7109375" style="302" customWidth="1"/>
    <col min="1534" max="1534" width="9.140625" style="302"/>
    <col min="1535" max="1535" width="10.7109375" style="302" bestFit="1" customWidth="1"/>
    <col min="1536" max="1781" width="9.140625" style="302"/>
    <col min="1782" max="1782" width="11.7109375" style="302" customWidth="1"/>
    <col min="1783" max="1786" width="9.140625" style="302"/>
    <col min="1787" max="1787" width="15" style="302" customWidth="1"/>
    <col min="1788" max="1788" width="3.85546875" style="302" customWidth="1"/>
    <col min="1789" max="1789" width="13.7109375" style="302" customWidth="1"/>
    <col min="1790" max="1790" width="9.140625" style="302"/>
    <col min="1791" max="1791" width="10.7109375" style="302" bestFit="1" customWidth="1"/>
    <col min="1792" max="2037" width="9.140625" style="302"/>
    <col min="2038" max="2038" width="11.7109375" style="302" customWidth="1"/>
    <col min="2039" max="2042" width="9.140625" style="302"/>
    <col min="2043" max="2043" width="15" style="302" customWidth="1"/>
    <col min="2044" max="2044" width="3.85546875" style="302" customWidth="1"/>
    <col min="2045" max="2045" width="13.7109375" style="302" customWidth="1"/>
    <col min="2046" max="2046" width="9.140625" style="302"/>
    <col min="2047" max="2047" width="10.7109375" style="302" bestFit="1" customWidth="1"/>
    <col min="2048" max="2293" width="9.140625" style="302"/>
    <col min="2294" max="2294" width="11.7109375" style="302" customWidth="1"/>
    <col min="2295" max="2298" width="9.140625" style="302"/>
    <col min="2299" max="2299" width="15" style="302" customWidth="1"/>
    <col min="2300" max="2300" width="3.85546875" style="302" customWidth="1"/>
    <col min="2301" max="2301" width="13.7109375" style="302" customWidth="1"/>
    <col min="2302" max="2302" width="9.140625" style="302"/>
    <col min="2303" max="2303" width="10.7109375" style="302" bestFit="1" customWidth="1"/>
    <col min="2304" max="2549" width="9.140625" style="302"/>
    <col min="2550" max="2550" width="11.7109375" style="302" customWidth="1"/>
    <col min="2551" max="2554" width="9.140625" style="302"/>
    <col min="2555" max="2555" width="15" style="302" customWidth="1"/>
    <col min="2556" max="2556" width="3.85546875" style="302" customWidth="1"/>
    <col min="2557" max="2557" width="13.7109375" style="302" customWidth="1"/>
    <col min="2558" max="2558" width="9.140625" style="302"/>
    <col min="2559" max="2559" width="10.7109375" style="302" bestFit="1" customWidth="1"/>
    <col min="2560" max="2805" width="9.140625" style="302"/>
    <col min="2806" max="2806" width="11.7109375" style="302" customWidth="1"/>
    <col min="2807" max="2810" width="9.140625" style="302"/>
    <col min="2811" max="2811" width="15" style="302" customWidth="1"/>
    <col min="2812" max="2812" width="3.85546875" style="302" customWidth="1"/>
    <col min="2813" max="2813" width="13.7109375" style="302" customWidth="1"/>
    <col min="2814" max="2814" width="9.140625" style="302"/>
    <col min="2815" max="2815" width="10.7109375" style="302" bestFit="1" customWidth="1"/>
    <col min="2816" max="3061" width="9.140625" style="302"/>
    <col min="3062" max="3062" width="11.7109375" style="302" customWidth="1"/>
    <col min="3063" max="3066" width="9.140625" style="302"/>
    <col min="3067" max="3067" width="15" style="302" customWidth="1"/>
    <col min="3068" max="3068" width="3.85546875" style="302" customWidth="1"/>
    <col min="3069" max="3069" width="13.7109375" style="302" customWidth="1"/>
    <col min="3070" max="3070" width="9.140625" style="302"/>
    <col min="3071" max="3071" width="10.7109375" style="302" bestFit="1" customWidth="1"/>
    <col min="3072" max="3317" width="9.140625" style="302"/>
    <col min="3318" max="3318" width="11.7109375" style="302" customWidth="1"/>
    <col min="3319" max="3322" width="9.140625" style="302"/>
    <col min="3323" max="3323" width="15" style="302" customWidth="1"/>
    <col min="3324" max="3324" width="3.85546875" style="302" customWidth="1"/>
    <col min="3325" max="3325" width="13.7109375" style="302" customWidth="1"/>
    <col min="3326" max="3326" width="9.140625" style="302"/>
    <col min="3327" max="3327" width="10.7109375" style="302" bestFit="1" customWidth="1"/>
    <col min="3328" max="3573" width="9.140625" style="302"/>
    <col min="3574" max="3574" width="11.7109375" style="302" customWidth="1"/>
    <col min="3575" max="3578" width="9.140625" style="302"/>
    <col min="3579" max="3579" width="15" style="302" customWidth="1"/>
    <col min="3580" max="3580" width="3.85546875" style="302" customWidth="1"/>
    <col min="3581" max="3581" width="13.7109375" style="302" customWidth="1"/>
    <col min="3582" max="3582" width="9.140625" style="302"/>
    <col min="3583" max="3583" width="10.7109375" style="302" bestFit="1" customWidth="1"/>
    <col min="3584" max="3829" width="9.140625" style="302"/>
    <col min="3830" max="3830" width="11.7109375" style="302" customWidth="1"/>
    <col min="3831" max="3834" width="9.140625" style="302"/>
    <col min="3835" max="3835" width="15" style="302" customWidth="1"/>
    <col min="3836" max="3836" width="3.85546875" style="302" customWidth="1"/>
    <col min="3837" max="3837" width="13.7109375" style="302" customWidth="1"/>
    <col min="3838" max="3838" width="9.140625" style="302"/>
    <col min="3839" max="3839" width="10.7109375" style="302" bestFit="1" customWidth="1"/>
    <col min="3840" max="4085" width="9.140625" style="302"/>
    <col min="4086" max="4086" width="11.7109375" style="302" customWidth="1"/>
    <col min="4087" max="4090" width="9.140625" style="302"/>
    <col min="4091" max="4091" width="15" style="302" customWidth="1"/>
    <col min="4092" max="4092" width="3.85546875" style="302" customWidth="1"/>
    <col min="4093" max="4093" width="13.7109375" style="302" customWidth="1"/>
    <col min="4094" max="4094" width="9.140625" style="302"/>
    <col min="4095" max="4095" width="10.7109375" style="302" bestFit="1" customWidth="1"/>
    <col min="4096" max="4341" width="9.140625" style="302"/>
    <col min="4342" max="4342" width="11.7109375" style="302" customWidth="1"/>
    <col min="4343" max="4346" width="9.140625" style="302"/>
    <col min="4347" max="4347" width="15" style="302" customWidth="1"/>
    <col min="4348" max="4348" width="3.85546875" style="302" customWidth="1"/>
    <col min="4349" max="4349" width="13.7109375" style="302" customWidth="1"/>
    <col min="4350" max="4350" width="9.140625" style="302"/>
    <col min="4351" max="4351" width="10.7109375" style="302" bestFit="1" customWidth="1"/>
    <col min="4352" max="4597" width="9.140625" style="302"/>
    <col min="4598" max="4598" width="11.7109375" style="302" customWidth="1"/>
    <col min="4599" max="4602" width="9.140625" style="302"/>
    <col min="4603" max="4603" width="15" style="302" customWidth="1"/>
    <col min="4604" max="4604" width="3.85546875" style="302" customWidth="1"/>
    <col min="4605" max="4605" width="13.7109375" style="302" customWidth="1"/>
    <col min="4606" max="4606" width="9.140625" style="302"/>
    <col min="4607" max="4607" width="10.7109375" style="302" bestFit="1" customWidth="1"/>
    <col min="4608" max="4853" width="9.140625" style="302"/>
    <col min="4854" max="4854" width="11.7109375" style="302" customWidth="1"/>
    <col min="4855" max="4858" width="9.140625" style="302"/>
    <col min="4859" max="4859" width="15" style="302" customWidth="1"/>
    <col min="4860" max="4860" width="3.85546875" style="302" customWidth="1"/>
    <col min="4861" max="4861" width="13.7109375" style="302" customWidth="1"/>
    <col min="4862" max="4862" width="9.140625" style="302"/>
    <col min="4863" max="4863" width="10.7109375" style="302" bestFit="1" customWidth="1"/>
    <col min="4864" max="5109" width="9.140625" style="302"/>
    <col min="5110" max="5110" width="11.7109375" style="302" customWidth="1"/>
    <col min="5111" max="5114" width="9.140625" style="302"/>
    <col min="5115" max="5115" width="15" style="302" customWidth="1"/>
    <col min="5116" max="5116" width="3.85546875" style="302" customWidth="1"/>
    <col min="5117" max="5117" width="13.7109375" style="302" customWidth="1"/>
    <col min="5118" max="5118" width="9.140625" style="302"/>
    <col min="5119" max="5119" width="10.7109375" style="302" bestFit="1" customWidth="1"/>
    <col min="5120" max="5365" width="9.140625" style="302"/>
    <col min="5366" max="5366" width="11.7109375" style="302" customWidth="1"/>
    <col min="5367" max="5370" width="9.140625" style="302"/>
    <col min="5371" max="5371" width="15" style="302" customWidth="1"/>
    <col min="5372" max="5372" width="3.85546875" style="302" customWidth="1"/>
    <col min="5373" max="5373" width="13.7109375" style="302" customWidth="1"/>
    <col min="5374" max="5374" width="9.140625" style="302"/>
    <col min="5375" max="5375" width="10.7109375" style="302" bestFit="1" customWidth="1"/>
    <col min="5376" max="5621" width="9.140625" style="302"/>
    <col min="5622" max="5622" width="11.7109375" style="302" customWidth="1"/>
    <col min="5623" max="5626" width="9.140625" style="302"/>
    <col min="5627" max="5627" width="15" style="302" customWidth="1"/>
    <col min="5628" max="5628" width="3.85546875" style="302" customWidth="1"/>
    <col min="5629" max="5629" width="13.7109375" style="302" customWidth="1"/>
    <col min="5630" max="5630" width="9.140625" style="302"/>
    <col min="5631" max="5631" width="10.7109375" style="302" bestFit="1" customWidth="1"/>
    <col min="5632" max="5877" width="9.140625" style="302"/>
    <col min="5878" max="5878" width="11.7109375" style="302" customWidth="1"/>
    <col min="5879" max="5882" width="9.140625" style="302"/>
    <col min="5883" max="5883" width="15" style="302" customWidth="1"/>
    <col min="5884" max="5884" width="3.85546875" style="302" customWidth="1"/>
    <col min="5885" max="5885" width="13.7109375" style="302" customWidth="1"/>
    <col min="5886" max="5886" width="9.140625" style="302"/>
    <col min="5887" max="5887" width="10.7109375" style="302" bestFit="1" customWidth="1"/>
    <col min="5888" max="6133" width="9.140625" style="302"/>
    <col min="6134" max="6134" width="11.7109375" style="302" customWidth="1"/>
    <col min="6135" max="6138" width="9.140625" style="302"/>
    <col min="6139" max="6139" width="15" style="302" customWidth="1"/>
    <col min="6140" max="6140" width="3.85546875" style="302" customWidth="1"/>
    <col min="6141" max="6141" width="13.7109375" style="302" customWidth="1"/>
    <col min="6142" max="6142" width="9.140625" style="302"/>
    <col min="6143" max="6143" width="10.7109375" style="302" bestFit="1" customWidth="1"/>
    <col min="6144" max="6389" width="9.140625" style="302"/>
    <col min="6390" max="6390" width="11.7109375" style="302" customWidth="1"/>
    <col min="6391" max="6394" width="9.140625" style="302"/>
    <col min="6395" max="6395" width="15" style="302" customWidth="1"/>
    <col min="6396" max="6396" width="3.85546875" style="302" customWidth="1"/>
    <col min="6397" max="6397" width="13.7109375" style="302" customWidth="1"/>
    <col min="6398" max="6398" width="9.140625" style="302"/>
    <col min="6399" max="6399" width="10.7109375" style="302" bestFit="1" customWidth="1"/>
    <col min="6400" max="6645" width="9.140625" style="302"/>
    <col min="6646" max="6646" width="11.7109375" style="302" customWidth="1"/>
    <col min="6647" max="6650" width="9.140625" style="302"/>
    <col min="6651" max="6651" width="15" style="302" customWidth="1"/>
    <col min="6652" max="6652" width="3.85546875" style="302" customWidth="1"/>
    <col min="6653" max="6653" width="13.7109375" style="302" customWidth="1"/>
    <col min="6654" max="6654" width="9.140625" style="302"/>
    <col min="6655" max="6655" width="10.7109375" style="302" bestFit="1" customWidth="1"/>
    <col min="6656" max="6901" width="9.140625" style="302"/>
    <col min="6902" max="6902" width="11.7109375" style="302" customWidth="1"/>
    <col min="6903" max="6906" width="9.140625" style="302"/>
    <col min="6907" max="6907" width="15" style="302" customWidth="1"/>
    <col min="6908" max="6908" width="3.85546875" style="302" customWidth="1"/>
    <col min="6909" max="6909" width="13.7109375" style="302" customWidth="1"/>
    <col min="6910" max="6910" width="9.140625" style="302"/>
    <col min="6911" max="6911" width="10.7109375" style="302" bestFit="1" customWidth="1"/>
    <col min="6912" max="7157" width="9.140625" style="302"/>
    <col min="7158" max="7158" width="11.7109375" style="302" customWidth="1"/>
    <col min="7159" max="7162" width="9.140625" style="302"/>
    <col min="7163" max="7163" width="15" style="302" customWidth="1"/>
    <col min="7164" max="7164" width="3.85546875" style="302" customWidth="1"/>
    <col min="7165" max="7165" width="13.7109375" style="302" customWidth="1"/>
    <col min="7166" max="7166" width="9.140625" style="302"/>
    <col min="7167" max="7167" width="10.7109375" style="302" bestFit="1" customWidth="1"/>
    <col min="7168" max="7413" width="9.140625" style="302"/>
    <col min="7414" max="7414" width="11.7109375" style="302" customWidth="1"/>
    <col min="7415" max="7418" width="9.140625" style="302"/>
    <col min="7419" max="7419" width="15" style="302" customWidth="1"/>
    <col min="7420" max="7420" width="3.85546875" style="302" customWidth="1"/>
    <col min="7421" max="7421" width="13.7109375" style="302" customWidth="1"/>
    <col min="7422" max="7422" width="9.140625" style="302"/>
    <col min="7423" max="7423" width="10.7109375" style="302" bestFit="1" customWidth="1"/>
    <col min="7424" max="7669" width="9.140625" style="302"/>
    <col min="7670" max="7670" width="11.7109375" style="302" customWidth="1"/>
    <col min="7671" max="7674" width="9.140625" style="302"/>
    <col min="7675" max="7675" width="15" style="302" customWidth="1"/>
    <col min="7676" max="7676" width="3.85546875" style="302" customWidth="1"/>
    <col min="7677" max="7677" width="13.7109375" style="302" customWidth="1"/>
    <col min="7678" max="7678" width="9.140625" style="302"/>
    <col min="7679" max="7679" width="10.7109375" style="302" bestFit="1" customWidth="1"/>
    <col min="7680" max="7925" width="9.140625" style="302"/>
    <col min="7926" max="7926" width="11.7109375" style="302" customWidth="1"/>
    <col min="7927" max="7930" width="9.140625" style="302"/>
    <col min="7931" max="7931" width="15" style="302" customWidth="1"/>
    <col min="7932" max="7932" width="3.85546875" style="302" customWidth="1"/>
    <col min="7933" max="7933" width="13.7109375" style="302" customWidth="1"/>
    <col min="7934" max="7934" width="9.140625" style="302"/>
    <col min="7935" max="7935" width="10.7109375" style="302" bestFit="1" customWidth="1"/>
    <col min="7936" max="8181" width="9.140625" style="302"/>
    <col min="8182" max="8182" width="11.7109375" style="302" customWidth="1"/>
    <col min="8183" max="8186" width="9.140625" style="302"/>
    <col min="8187" max="8187" width="15" style="302" customWidth="1"/>
    <col min="8188" max="8188" width="3.85546875" style="302" customWidth="1"/>
    <col min="8189" max="8189" width="13.7109375" style="302" customWidth="1"/>
    <col min="8190" max="8190" width="9.140625" style="302"/>
    <col min="8191" max="8191" width="10.7109375" style="302" bestFit="1" customWidth="1"/>
    <col min="8192" max="8437" width="9.140625" style="302"/>
    <col min="8438" max="8438" width="11.7109375" style="302" customWidth="1"/>
    <col min="8439" max="8442" width="9.140625" style="302"/>
    <col min="8443" max="8443" width="15" style="302" customWidth="1"/>
    <col min="8444" max="8444" width="3.85546875" style="302" customWidth="1"/>
    <col min="8445" max="8445" width="13.7109375" style="302" customWidth="1"/>
    <col min="8446" max="8446" width="9.140625" style="302"/>
    <col min="8447" max="8447" width="10.7109375" style="302" bestFit="1" customWidth="1"/>
    <col min="8448" max="8693" width="9.140625" style="302"/>
    <col min="8694" max="8694" width="11.7109375" style="302" customWidth="1"/>
    <col min="8695" max="8698" width="9.140625" style="302"/>
    <col min="8699" max="8699" width="15" style="302" customWidth="1"/>
    <col min="8700" max="8700" width="3.85546875" style="302" customWidth="1"/>
    <col min="8701" max="8701" width="13.7109375" style="302" customWidth="1"/>
    <col min="8702" max="8702" width="9.140625" style="302"/>
    <col min="8703" max="8703" width="10.7109375" style="302" bestFit="1" customWidth="1"/>
    <col min="8704" max="8949" width="9.140625" style="302"/>
    <col min="8950" max="8950" width="11.7109375" style="302" customWidth="1"/>
    <col min="8951" max="8954" width="9.140625" style="302"/>
    <col min="8955" max="8955" width="15" style="302" customWidth="1"/>
    <col min="8956" max="8956" width="3.85546875" style="302" customWidth="1"/>
    <col min="8957" max="8957" width="13.7109375" style="302" customWidth="1"/>
    <col min="8958" max="8958" width="9.140625" style="302"/>
    <col min="8959" max="8959" width="10.7109375" style="302" bestFit="1" customWidth="1"/>
    <col min="8960" max="9205" width="9.140625" style="302"/>
    <col min="9206" max="9206" width="11.7109375" style="302" customWidth="1"/>
    <col min="9207" max="9210" width="9.140625" style="302"/>
    <col min="9211" max="9211" width="15" style="302" customWidth="1"/>
    <col min="9212" max="9212" width="3.85546875" style="302" customWidth="1"/>
    <col min="9213" max="9213" width="13.7109375" style="302" customWidth="1"/>
    <col min="9214" max="9214" width="9.140625" style="302"/>
    <col min="9215" max="9215" width="10.7109375" style="302" bestFit="1" customWidth="1"/>
    <col min="9216" max="9461" width="9.140625" style="302"/>
    <col min="9462" max="9462" width="11.7109375" style="302" customWidth="1"/>
    <col min="9463" max="9466" width="9.140625" style="302"/>
    <col min="9467" max="9467" width="15" style="302" customWidth="1"/>
    <col min="9468" max="9468" width="3.85546875" style="302" customWidth="1"/>
    <col min="9469" max="9469" width="13.7109375" style="302" customWidth="1"/>
    <col min="9470" max="9470" width="9.140625" style="302"/>
    <col min="9471" max="9471" width="10.7109375" style="302" bestFit="1" customWidth="1"/>
    <col min="9472" max="9717" width="9.140625" style="302"/>
    <col min="9718" max="9718" width="11.7109375" style="302" customWidth="1"/>
    <col min="9719" max="9722" width="9.140625" style="302"/>
    <col min="9723" max="9723" width="15" style="302" customWidth="1"/>
    <col min="9724" max="9724" width="3.85546875" style="302" customWidth="1"/>
    <col min="9725" max="9725" width="13.7109375" style="302" customWidth="1"/>
    <col min="9726" max="9726" width="9.140625" style="302"/>
    <col min="9727" max="9727" width="10.7109375" style="302" bestFit="1" customWidth="1"/>
    <col min="9728" max="9973" width="9.140625" style="302"/>
    <col min="9974" max="9974" width="11.7109375" style="302" customWidth="1"/>
    <col min="9975" max="9978" width="9.140625" style="302"/>
    <col min="9979" max="9979" width="15" style="302" customWidth="1"/>
    <col min="9980" max="9980" width="3.85546875" style="302" customWidth="1"/>
    <col min="9981" max="9981" width="13.7109375" style="302" customWidth="1"/>
    <col min="9982" max="9982" width="9.140625" style="302"/>
    <col min="9983" max="9983" width="10.7109375" style="302" bestFit="1" customWidth="1"/>
    <col min="9984" max="10229" width="9.140625" style="302"/>
    <col min="10230" max="10230" width="11.7109375" style="302" customWidth="1"/>
    <col min="10231" max="10234" width="9.140625" style="302"/>
    <col min="10235" max="10235" width="15" style="302" customWidth="1"/>
    <col min="10236" max="10236" width="3.85546875" style="302" customWidth="1"/>
    <col min="10237" max="10237" width="13.7109375" style="302" customWidth="1"/>
    <col min="10238" max="10238" width="9.140625" style="302"/>
    <col min="10239" max="10239" width="10.7109375" style="302" bestFit="1" customWidth="1"/>
    <col min="10240" max="10485" width="9.140625" style="302"/>
    <col min="10486" max="10486" width="11.7109375" style="302" customWidth="1"/>
    <col min="10487" max="10490" width="9.140625" style="302"/>
    <col min="10491" max="10491" width="15" style="302" customWidth="1"/>
    <col min="10492" max="10492" width="3.85546875" style="302" customWidth="1"/>
    <col min="10493" max="10493" width="13.7109375" style="302" customWidth="1"/>
    <col min="10494" max="10494" width="9.140625" style="302"/>
    <col min="10495" max="10495" width="10.7109375" style="302" bestFit="1" customWidth="1"/>
    <col min="10496" max="10741" width="9.140625" style="302"/>
    <col min="10742" max="10742" width="11.7109375" style="302" customWidth="1"/>
    <col min="10743" max="10746" width="9.140625" style="302"/>
    <col min="10747" max="10747" width="15" style="302" customWidth="1"/>
    <col min="10748" max="10748" width="3.85546875" style="302" customWidth="1"/>
    <col min="10749" max="10749" width="13.7109375" style="302" customWidth="1"/>
    <col min="10750" max="10750" width="9.140625" style="302"/>
    <col min="10751" max="10751" width="10.7109375" style="302" bestFit="1" customWidth="1"/>
    <col min="10752" max="10997" width="9.140625" style="302"/>
    <col min="10998" max="10998" width="11.7109375" style="302" customWidth="1"/>
    <col min="10999" max="11002" width="9.140625" style="302"/>
    <col min="11003" max="11003" width="15" style="302" customWidth="1"/>
    <col min="11004" max="11004" width="3.85546875" style="302" customWidth="1"/>
    <col min="11005" max="11005" width="13.7109375" style="302" customWidth="1"/>
    <col min="11006" max="11006" width="9.140625" style="302"/>
    <col min="11007" max="11007" width="10.7109375" style="302" bestFit="1" customWidth="1"/>
    <col min="11008" max="11253" width="9.140625" style="302"/>
    <col min="11254" max="11254" width="11.7109375" style="302" customWidth="1"/>
    <col min="11255" max="11258" width="9.140625" style="302"/>
    <col min="11259" max="11259" width="15" style="302" customWidth="1"/>
    <col min="11260" max="11260" width="3.85546875" style="302" customWidth="1"/>
    <col min="11261" max="11261" width="13.7109375" style="302" customWidth="1"/>
    <col min="11262" max="11262" width="9.140625" style="302"/>
    <col min="11263" max="11263" width="10.7109375" style="302" bestFit="1" customWidth="1"/>
    <col min="11264" max="11509" width="9.140625" style="302"/>
    <col min="11510" max="11510" width="11.7109375" style="302" customWidth="1"/>
    <col min="11511" max="11514" width="9.140625" style="302"/>
    <col min="11515" max="11515" width="15" style="302" customWidth="1"/>
    <col min="11516" max="11516" width="3.85546875" style="302" customWidth="1"/>
    <col min="11517" max="11517" width="13.7109375" style="302" customWidth="1"/>
    <col min="11518" max="11518" width="9.140625" style="302"/>
    <col min="11519" max="11519" width="10.7109375" style="302" bestFit="1" customWidth="1"/>
    <col min="11520" max="11765" width="9.140625" style="302"/>
    <col min="11766" max="11766" width="11.7109375" style="302" customWidth="1"/>
    <col min="11767" max="11770" width="9.140625" style="302"/>
    <col min="11771" max="11771" width="15" style="302" customWidth="1"/>
    <col min="11772" max="11772" width="3.85546875" style="302" customWidth="1"/>
    <col min="11773" max="11773" width="13.7109375" style="302" customWidth="1"/>
    <col min="11774" max="11774" width="9.140625" style="302"/>
    <col min="11775" max="11775" width="10.7109375" style="302" bestFit="1" customWidth="1"/>
    <col min="11776" max="12021" width="9.140625" style="302"/>
    <col min="12022" max="12022" width="11.7109375" style="302" customWidth="1"/>
    <col min="12023" max="12026" width="9.140625" style="302"/>
    <col min="12027" max="12027" width="15" style="302" customWidth="1"/>
    <col min="12028" max="12028" width="3.85546875" style="302" customWidth="1"/>
    <col min="12029" max="12029" width="13.7109375" style="302" customWidth="1"/>
    <col min="12030" max="12030" width="9.140625" style="302"/>
    <col min="12031" max="12031" width="10.7109375" style="302" bestFit="1" customWidth="1"/>
    <col min="12032" max="12277" width="9.140625" style="302"/>
    <col min="12278" max="12278" width="11.7109375" style="302" customWidth="1"/>
    <col min="12279" max="12282" width="9.140625" style="302"/>
    <col min="12283" max="12283" width="15" style="302" customWidth="1"/>
    <col min="12284" max="12284" width="3.85546875" style="302" customWidth="1"/>
    <col min="12285" max="12285" width="13.7109375" style="302" customWidth="1"/>
    <col min="12286" max="12286" width="9.140625" style="302"/>
    <col min="12287" max="12287" width="10.7109375" style="302" bestFit="1" customWidth="1"/>
    <col min="12288" max="12533" width="9.140625" style="302"/>
    <col min="12534" max="12534" width="11.7109375" style="302" customWidth="1"/>
    <col min="12535" max="12538" width="9.140625" style="302"/>
    <col min="12539" max="12539" width="15" style="302" customWidth="1"/>
    <col min="12540" max="12540" width="3.85546875" style="302" customWidth="1"/>
    <col min="12541" max="12541" width="13.7109375" style="302" customWidth="1"/>
    <col min="12542" max="12542" width="9.140625" style="302"/>
    <col min="12543" max="12543" width="10.7109375" style="302" bestFit="1" customWidth="1"/>
    <col min="12544" max="12789" width="9.140625" style="302"/>
    <col min="12790" max="12790" width="11.7109375" style="302" customWidth="1"/>
    <col min="12791" max="12794" width="9.140625" style="302"/>
    <col min="12795" max="12795" width="15" style="302" customWidth="1"/>
    <col min="12796" max="12796" width="3.85546875" style="302" customWidth="1"/>
    <col min="12797" max="12797" width="13.7109375" style="302" customWidth="1"/>
    <col min="12798" max="12798" width="9.140625" style="302"/>
    <col min="12799" max="12799" width="10.7109375" style="302" bestFit="1" customWidth="1"/>
    <col min="12800" max="13045" width="9.140625" style="302"/>
    <col min="13046" max="13046" width="11.7109375" style="302" customWidth="1"/>
    <col min="13047" max="13050" width="9.140625" style="302"/>
    <col min="13051" max="13051" width="15" style="302" customWidth="1"/>
    <col min="13052" max="13052" width="3.85546875" style="302" customWidth="1"/>
    <col min="13053" max="13053" width="13.7109375" style="302" customWidth="1"/>
    <col min="13054" max="13054" width="9.140625" style="302"/>
    <col min="13055" max="13055" width="10.7109375" style="302" bestFit="1" customWidth="1"/>
    <col min="13056" max="13301" width="9.140625" style="302"/>
    <col min="13302" max="13302" width="11.7109375" style="302" customWidth="1"/>
    <col min="13303" max="13306" width="9.140625" style="302"/>
    <col min="13307" max="13307" width="15" style="302" customWidth="1"/>
    <col min="13308" max="13308" width="3.85546875" style="302" customWidth="1"/>
    <col min="13309" max="13309" width="13.7109375" style="302" customWidth="1"/>
    <col min="13310" max="13310" width="9.140625" style="302"/>
    <col min="13311" max="13311" width="10.7109375" style="302" bestFit="1" customWidth="1"/>
    <col min="13312" max="13557" width="9.140625" style="302"/>
    <col min="13558" max="13558" width="11.7109375" style="302" customWidth="1"/>
    <col min="13559" max="13562" width="9.140625" style="302"/>
    <col min="13563" max="13563" width="15" style="302" customWidth="1"/>
    <col min="13564" max="13564" width="3.85546875" style="302" customWidth="1"/>
    <col min="13565" max="13565" width="13.7109375" style="302" customWidth="1"/>
    <col min="13566" max="13566" width="9.140625" style="302"/>
    <col min="13567" max="13567" width="10.7109375" style="302" bestFit="1" customWidth="1"/>
    <col min="13568" max="13813" width="9.140625" style="302"/>
    <col min="13814" max="13814" width="11.7109375" style="302" customWidth="1"/>
    <col min="13815" max="13818" width="9.140625" style="302"/>
    <col min="13819" max="13819" width="15" style="302" customWidth="1"/>
    <col min="13820" max="13820" width="3.85546875" style="302" customWidth="1"/>
    <col min="13821" max="13821" width="13.7109375" style="302" customWidth="1"/>
    <col min="13822" max="13822" width="9.140625" style="302"/>
    <col min="13823" max="13823" width="10.7109375" style="302" bestFit="1" customWidth="1"/>
    <col min="13824" max="14069" width="9.140625" style="302"/>
    <col min="14070" max="14070" width="11.7109375" style="302" customWidth="1"/>
    <col min="14071" max="14074" width="9.140625" style="302"/>
    <col min="14075" max="14075" width="15" style="302" customWidth="1"/>
    <col min="14076" max="14076" width="3.85546875" style="302" customWidth="1"/>
    <col min="14077" max="14077" width="13.7109375" style="302" customWidth="1"/>
    <col min="14078" max="14078" width="9.140625" style="302"/>
    <col min="14079" max="14079" width="10.7109375" style="302" bestFit="1" customWidth="1"/>
    <col min="14080" max="14325" width="9.140625" style="302"/>
    <col min="14326" max="14326" width="11.7109375" style="302" customWidth="1"/>
    <col min="14327" max="14330" width="9.140625" style="302"/>
    <col min="14331" max="14331" width="15" style="302" customWidth="1"/>
    <col min="14332" max="14332" width="3.85546875" style="302" customWidth="1"/>
    <col min="14333" max="14333" width="13.7109375" style="302" customWidth="1"/>
    <col min="14334" max="14334" width="9.140625" style="302"/>
    <col min="14335" max="14335" width="10.7109375" style="302" bestFit="1" customWidth="1"/>
    <col min="14336" max="14581" width="9.140625" style="302"/>
    <col min="14582" max="14582" width="11.7109375" style="302" customWidth="1"/>
    <col min="14583" max="14586" width="9.140625" style="302"/>
    <col min="14587" max="14587" width="15" style="302" customWidth="1"/>
    <col min="14588" max="14588" width="3.85546875" style="302" customWidth="1"/>
    <col min="14589" max="14589" width="13.7109375" style="302" customWidth="1"/>
    <col min="14590" max="14590" width="9.140625" style="302"/>
    <col min="14591" max="14591" width="10.7109375" style="302" bestFit="1" customWidth="1"/>
    <col min="14592" max="14837" width="9.140625" style="302"/>
    <col min="14838" max="14838" width="11.7109375" style="302" customWidth="1"/>
    <col min="14839" max="14842" width="9.140625" style="302"/>
    <col min="14843" max="14843" width="15" style="302" customWidth="1"/>
    <col min="14844" max="14844" width="3.85546875" style="302" customWidth="1"/>
    <col min="14845" max="14845" width="13.7109375" style="302" customWidth="1"/>
    <col min="14846" max="14846" width="9.140625" style="302"/>
    <col min="14847" max="14847" width="10.7109375" style="302" bestFit="1" customWidth="1"/>
    <col min="14848" max="15093" width="9.140625" style="302"/>
    <col min="15094" max="15094" width="11.7109375" style="302" customWidth="1"/>
    <col min="15095" max="15098" width="9.140625" style="302"/>
    <col min="15099" max="15099" width="15" style="302" customWidth="1"/>
    <col min="15100" max="15100" width="3.85546875" style="302" customWidth="1"/>
    <col min="15101" max="15101" width="13.7109375" style="302" customWidth="1"/>
    <col min="15102" max="15102" width="9.140625" style="302"/>
    <col min="15103" max="15103" width="10.7109375" style="302" bestFit="1" customWidth="1"/>
    <col min="15104" max="15349" width="9.140625" style="302"/>
    <col min="15350" max="15350" width="11.7109375" style="302" customWidth="1"/>
    <col min="15351" max="15354" width="9.140625" style="302"/>
    <col min="15355" max="15355" width="15" style="302" customWidth="1"/>
    <col min="15356" max="15356" width="3.85546875" style="302" customWidth="1"/>
    <col min="15357" max="15357" width="13.7109375" style="302" customWidth="1"/>
    <col min="15358" max="15358" width="9.140625" style="302"/>
    <col min="15359" max="15359" width="10.7109375" style="302" bestFit="1" customWidth="1"/>
    <col min="15360" max="15605" width="9.140625" style="302"/>
    <col min="15606" max="15606" width="11.7109375" style="302" customWidth="1"/>
    <col min="15607" max="15610" width="9.140625" style="302"/>
    <col min="15611" max="15611" width="15" style="302" customWidth="1"/>
    <col min="15612" max="15612" width="3.85546875" style="302" customWidth="1"/>
    <col min="15613" max="15613" width="13.7109375" style="302" customWidth="1"/>
    <col min="15614" max="15614" width="9.140625" style="302"/>
    <col min="15615" max="15615" width="10.7109375" style="302" bestFit="1" customWidth="1"/>
    <col min="15616" max="15861" width="9.140625" style="302"/>
    <col min="15862" max="15862" width="11.7109375" style="302" customWidth="1"/>
    <col min="15863" max="15866" width="9.140625" style="302"/>
    <col min="15867" max="15867" width="15" style="302" customWidth="1"/>
    <col min="15868" max="15868" width="3.85546875" style="302" customWidth="1"/>
    <col min="15869" max="15869" width="13.7109375" style="302" customWidth="1"/>
    <col min="15870" max="15870" width="9.140625" style="302"/>
    <col min="15871" max="15871" width="10.7109375" style="302" bestFit="1" customWidth="1"/>
    <col min="15872" max="16117" width="9.140625" style="302"/>
    <col min="16118" max="16118" width="11.7109375" style="302" customWidth="1"/>
    <col min="16119" max="16122" width="9.140625" style="302"/>
    <col min="16123" max="16123" width="15" style="302" customWidth="1"/>
    <col min="16124" max="16124" width="3.85546875" style="302" customWidth="1"/>
    <col min="16125" max="16125" width="13.7109375" style="302" customWidth="1"/>
    <col min="16126" max="16126" width="9.140625" style="302"/>
    <col min="16127" max="16127" width="10.7109375" style="302" bestFit="1" customWidth="1"/>
    <col min="16128" max="16384" width="9.140625" style="302"/>
  </cols>
  <sheetData>
    <row r="1" spans="1:13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>
      <c r="A2" s="375" t="s">
        <v>589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</row>
    <row r="4" spans="1:13">
      <c r="A4" s="375" t="s">
        <v>559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</row>
    <row r="5" spans="1:13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</row>
    <row r="6" spans="1:13">
      <c r="A6" s="257"/>
      <c r="B6" s="257"/>
      <c r="C6" s="257"/>
      <c r="D6" s="257"/>
      <c r="E6" s="257"/>
      <c r="F6" s="257"/>
      <c r="G6" s="257"/>
      <c r="H6" s="257"/>
      <c r="I6" s="257"/>
      <c r="J6" s="362"/>
      <c r="K6" s="257"/>
      <c r="L6" s="257"/>
      <c r="M6" s="257"/>
    </row>
    <row r="7" spans="1:13">
      <c r="E7" s="337"/>
      <c r="F7" s="337"/>
      <c r="G7" s="337"/>
      <c r="H7" s="337"/>
      <c r="I7" s="337"/>
      <c r="J7" s="337"/>
      <c r="M7" s="303"/>
    </row>
    <row r="8" spans="1:13">
      <c r="K8" s="303" t="s">
        <v>527</v>
      </c>
      <c r="M8" s="303"/>
    </row>
    <row r="9" spans="1:13">
      <c r="A9" s="304"/>
      <c r="B9" s="304"/>
      <c r="C9" s="304"/>
      <c r="D9" s="304"/>
      <c r="E9" s="304"/>
      <c r="F9" s="304"/>
      <c r="G9" s="304"/>
      <c r="H9" s="304"/>
      <c r="I9" s="305"/>
      <c r="J9" s="305"/>
      <c r="K9" s="306" t="s">
        <v>528</v>
      </c>
      <c r="M9" s="307" t="s">
        <v>529</v>
      </c>
    </row>
    <row r="10" spans="1:13">
      <c r="A10" s="308"/>
      <c r="B10" s="308"/>
      <c r="C10" s="309"/>
      <c r="D10" s="309"/>
      <c r="E10" s="309"/>
      <c r="F10" s="309"/>
      <c r="G10" s="310"/>
      <c r="H10" s="310"/>
      <c r="I10" s="311"/>
      <c r="J10" s="311"/>
      <c r="K10" s="312" t="s">
        <v>530</v>
      </c>
      <c r="M10" s="313" t="s">
        <v>531</v>
      </c>
    </row>
    <row r="11" spans="1:13">
      <c r="A11" s="308" t="s">
        <v>532</v>
      </c>
      <c r="B11" s="308"/>
      <c r="C11" s="314"/>
      <c r="D11" s="314"/>
      <c r="E11" s="314"/>
      <c r="F11" s="314"/>
      <c r="G11" s="315"/>
      <c r="H11" s="315"/>
      <c r="I11" s="316"/>
      <c r="J11" s="316"/>
      <c r="K11" s="292">
        <v>0.01</v>
      </c>
      <c r="L11" s="192"/>
      <c r="M11" s="292">
        <v>0.01</v>
      </c>
    </row>
    <row r="12" spans="1:13">
      <c r="A12" s="308"/>
      <c r="B12" s="308"/>
      <c r="C12" s="314"/>
      <c r="D12" s="314"/>
      <c r="E12" s="314"/>
      <c r="F12" s="314"/>
      <c r="G12" s="315"/>
      <c r="H12" s="315"/>
      <c r="I12" s="316"/>
      <c r="J12" s="316"/>
      <c r="K12" s="292"/>
      <c r="L12" s="192"/>
      <c r="M12" s="292"/>
    </row>
    <row r="13" spans="1:13">
      <c r="A13" s="308" t="s">
        <v>540</v>
      </c>
      <c r="B13" s="308"/>
      <c r="C13" s="314"/>
      <c r="D13" s="314"/>
      <c r="E13" s="314"/>
      <c r="F13" s="314"/>
      <c r="G13" s="315"/>
      <c r="H13" s="315"/>
      <c r="I13" s="316"/>
      <c r="J13" s="316"/>
      <c r="K13" s="338">
        <v>7.1999999999999997E-6</v>
      </c>
      <c r="L13" s="192"/>
      <c r="M13" s="338">
        <v>7.1999999999999997E-6</v>
      </c>
    </row>
    <row r="14" spans="1:13">
      <c r="A14" s="308"/>
      <c r="B14" s="308"/>
      <c r="C14" s="314"/>
      <c r="D14" s="314"/>
      <c r="E14" s="314"/>
      <c r="F14" s="314"/>
      <c r="G14" s="315"/>
      <c r="H14" s="315"/>
      <c r="I14" s="316"/>
      <c r="J14" s="316"/>
      <c r="K14" s="292"/>
      <c r="L14" s="192"/>
      <c r="M14" s="292"/>
    </row>
    <row r="15" spans="1:13">
      <c r="A15" s="308" t="s">
        <v>541</v>
      </c>
      <c r="B15" s="308"/>
      <c r="C15" s="314"/>
      <c r="D15" s="314"/>
      <c r="E15" s="314"/>
      <c r="F15" s="314"/>
      <c r="G15" s="315"/>
      <c r="H15" s="315"/>
      <c r="I15" s="316"/>
      <c r="J15" s="316"/>
      <c r="K15" s="339">
        <v>6.4999999999999996E-6</v>
      </c>
      <c r="L15" s="192"/>
      <c r="M15" s="339">
        <v>6.4999999999999996E-6</v>
      </c>
    </row>
    <row r="16" spans="1:13">
      <c r="A16" s="308"/>
      <c r="B16" s="308"/>
      <c r="C16" s="314"/>
      <c r="D16" s="314"/>
      <c r="E16" s="314"/>
      <c r="F16" s="314"/>
      <c r="G16" s="315"/>
      <c r="H16" s="315"/>
      <c r="I16" s="316"/>
      <c r="J16" s="316"/>
      <c r="K16" s="292"/>
      <c r="L16" s="192"/>
      <c r="M16" s="292"/>
    </row>
    <row r="17" spans="1:13">
      <c r="A17" s="308" t="s">
        <v>533</v>
      </c>
      <c r="B17" s="308"/>
      <c r="C17" s="314"/>
      <c r="D17" s="314"/>
      <c r="E17" s="314"/>
      <c r="F17" s="314"/>
      <c r="G17" s="315"/>
      <c r="H17" s="315"/>
      <c r="I17" s="316"/>
      <c r="J17" s="316"/>
      <c r="K17" s="338">
        <f>K11-K15-K13</f>
        <v>9.9863E-3</v>
      </c>
      <c r="L17" s="340"/>
      <c r="M17" s="338">
        <f>M11-M15-M13</f>
        <v>9.9863E-3</v>
      </c>
    </row>
    <row r="18" spans="1:13">
      <c r="A18" s="308"/>
      <c r="B18" s="308"/>
      <c r="C18" s="314"/>
      <c r="D18" s="314"/>
      <c r="E18" s="314"/>
      <c r="F18" s="314"/>
      <c r="G18" s="315"/>
      <c r="H18" s="315"/>
      <c r="I18" s="316"/>
      <c r="J18" s="316"/>
      <c r="K18" s="338"/>
      <c r="L18" s="340"/>
      <c r="M18" s="338"/>
    </row>
    <row r="19" spans="1:13">
      <c r="A19" s="319" t="s">
        <v>557</v>
      </c>
      <c r="B19" s="308"/>
      <c r="C19" s="311"/>
      <c r="D19" s="311"/>
      <c r="E19" s="311"/>
      <c r="F19" s="311"/>
      <c r="G19" s="311"/>
      <c r="H19" s="311"/>
      <c r="I19" s="318">
        <v>5.5E-2</v>
      </c>
      <c r="J19" s="318"/>
      <c r="K19" s="335">
        <f>K17*K49</f>
        <v>5.4924650000000004E-4</v>
      </c>
      <c r="L19" s="192"/>
      <c r="M19" s="335">
        <f>M17*M49</f>
        <v>5.2228349000000001E-4</v>
      </c>
    </row>
    <row r="20" spans="1:13">
      <c r="A20" s="319"/>
      <c r="B20" s="308"/>
      <c r="C20" s="311"/>
      <c r="D20" s="311"/>
      <c r="E20" s="311"/>
      <c r="F20" s="311"/>
      <c r="G20" s="311"/>
      <c r="H20" s="311"/>
      <c r="I20" s="311"/>
      <c r="J20" s="311"/>
      <c r="K20" s="321"/>
      <c r="L20" s="192"/>
      <c r="M20" s="321"/>
    </row>
    <row r="21" spans="1:13">
      <c r="A21" s="317" t="s">
        <v>534</v>
      </c>
      <c r="B21" s="308"/>
      <c r="C21" s="322"/>
      <c r="D21" s="322"/>
      <c r="E21" s="322"/>
      <c r="F21" s="322"/>
      <c r="G21" s="316"/>
      <c r="H21" s="316"/>
      <c r="I21" s="322"/>
      <c r="J21" s="322"/>
      <c r="K21" s="323">
        <f>K17-K19</f>
        <v>9.4370535000000005E-3</v>
      </c>
      <c r="L21" s="192"/>
      <c r="M21" s="323">
        <f>M17-M19</f>
        <v>9.4640165099999993E-3</v>
      </c>
    </row>
    <row r="22" spans="1:13">
      <c r="A22" s="317"/>
      <c r="B22" s="308"/>
      <c r="C22" s="322"/>
      <c r="D22" s="322"/>
      <c r="E22" s="322"/>
      <c r="F22" s="322"/>
      <c r="G22" s="316"/>
      <c r="H22" s="316"/>
      <c r="I22" s="322"/>
      <c r="J22" s="322"/>
      <c r="K22" s="323"/>
      <c r="L22" s="192"/>
      <c r="M22" s="323"/>
    </row>
    <row r="23" spans="1:13">
      <c r="A23" s="317"/>
      <c r="B23" s="308"/>
      <c r="C23" s="322"/>
      <c r="D23" s="322"/>
      <c r="E23" s="322"/>
      <c r="F23" s="322"/>
      <c r="G23" s="316"/>
      <c r="H23" s="316"/>
      <c r="I23" s="322"/>
      <c r="J23" s="322"/>
      <c r="K23" s="323"/>
      <c r="L23" s="192"/>
      <c r="M23" s="323"/>
    </row>
    <row r="24" spans="1:13">
      <c r="A24" s="317" t="s">
        <v>544</v>
      </c>
      <c r="B24" s="308"/>
      <c r="C24" s="322"/>
      <c r="D24" s="322"/>
      <c r="E24" s="322"/>
      <c r="F24" s="322"/>
      <c r="G24" s="316"/>
      <c r="H24" s="316"/>
      <c r="I24" s="322"/>
      <c r="J24" s="322"/>
      <c r="K24" s="324"/>
      <c r="M24" s="324"/>
    </row>
    <row r="25" spans="1:13">
      <c r="A25" s="325" t="s">
        <v>535</v>
      </c>
      <c r="B25" s="308"/>
      <c r="C25" s="322"/>
      <c r="D25" s="322"/>
      <c r="E25" s="322"/>
      <c r="F25" s="322"/>
      <c r="G25" s="316"/>
      <c r="H25" s="316"/>
      <c r="I25" s="322"/>
      <c r="J25" s="322"/>
      <c r="K25" s="326">
        <v>0</v>
      </c>
      <c r="L25" s="327"/>
      <c r="M25" s="326">
        <v>0.09</v>
      </c>
    </row>
    <row r="26" spans="1:13">
      <c r="A26" s="325" t="s">
        <v>536</v>
      </c>
      <c r="B26" s="308"/>
      <c r="C26" s="322"/>
      <c r="D26" s="322"/>
      <c r="E26" s="322"/>
      <c r="F26" s="322"/>
      <c r="G26" s="316"/>
      <c r="H26" s="316"/>
      <c r="I26" s="322"/>
      <c r="J26" s="322"/>
      <c r="K26" s="329">
        <f>K60</f>
        <v>0.50181852164083196</v>
      </c>
      <c r="L26" s="153"/>
      <c r="M26" s="329">
        <f>K60</f>
        <v>0.50181852164083196</v>
      </c>
    </row>
    <row r="27" spans="1:13">
      <c r="A27" s="328" t="s">
        <v>537</v>
      </c>
      <c r="B27" s="308"/>
      <c r="C27" s="322"/>
      <c r="D27" s="322"/>
      <c r="E27" s="322"/>
      <c r="F27" s="322"/>
      <c r="G27" s="316"/>
      <c r="H27" s="316"/>
      <c r="I27" s="322"/>
      <c r="J27" s="322"/>
      <c r="K27" s="329">
        <f>ROUND(K25*K26,4)</f>
        <v>0</v>
      </c>
      <c r="L27" s="327"/>
      <c r="M27" s="329">
        <f>ROUND(M25*M26,4)</f>
        <v>4.5199999999999997E-2</v>
      </c>
    </row>
    <row r="28" spans="1:13">
      <c r="A28" s="330" t="s">
        <v>538</v>
      </c>
      <c r="B28" s="308"/>
      <c r="C28" s="322"/>
      <c r="D28" s="322"/>
      <c r="E28" s="322"/>
      <c r="F28" s="322"/>
      <c r="G28" s="316"/>
      <c r="H28" s="316"/>
      <c r="I28" s="322"/>
      <c r="J28" s="322"/>
      <c r="K28" s="331">
        <f>ROUND(K21*K27,4)</f>
        <v>0</v>
      </c>
      <c r="L28" s="327"/>
      <c r="M28" s="332">
        <f>ROUND(M21*M27,4)</f>
        <v>4.0000000000000002E-4</v>
      </c>
    </row>
    <row r="29" spans="1:13">
      <c r="A29" s="328"/>
      <c r="B29" s="308"/>
      <c r="C29" s="322"/>
      <c r="D29" s="322"/>
      <c r="E29" s="322"/>
      <c r="F29" s="322"/>
      <c r="G29" s="316"/>
      <c r="H29" s="316"/>
      <c r="I29" s="322"/>
      <c r="J29" s="322"/>
      <c r="K29" s="333"/>
      <c r="L29" s="327"/>
      <c r="M29" s="334"/>
    </row>
    <row r="30" spans="1:13">
      <c r="A30" s="330" t="s">
        <v>539</v>
      </c>
      <c r="B30" s="308"/>
      <c r="C30" s="322"/>
      <c r="D30" s="322"/>
      <c r="E30" s="322"/>
      <c r="F30" s="322"/>
      <c r="G30" s="316"/>
      <c r="H30" s="316"/>
      <c r="I30" s="322"/>
      <c r="J30" s="322"/>
      <c r="K30" s="344">
        <f>K21-K28</f>
        <v>9.4370535000000005E-3</v>
      </c>
      <c r="L30" s="327"/>
      <c r="M30" s="344">
        <f>M21-M28</f>
        <v>9.06401651E-3</v>
      </c>
    </row>
    <row r="31" spans="1:13">
      <c r="A31" s="317"/>
      <c r="B31" s="308"/>
      <c r="C31" s="320"/>
      <c r="D31" s="320"/>
      <c r="E31" s="320"/>
      <c r="F31" s="320"/>
      <c r="G31" s="311"/>
      <c r="H31" s="311"/>
      <c r="I31" s="311"/>
      <c r="J31" s="311"/>
      <c r="K31" s="345"/>
      <c r="L31" s="327"/>
      <c r="M31" s="345"/>
    </row>
    <row r="32" spans="1:13">
      <c r="A32" s="317" t="s">
        <v>542</v>
      </c>
      <c r="B32" s="308"/>
      <c r="C32" s="320"/>
      <c r="D32" s="320"/>
      <c r="E32" s="320"/>
      <c r="F32" s="320"/>
      <c r="G32" s="311"/>
      <c r="H32" s="311"/>
      <c r="I32" s="311"/>
      <c r="J32" s="311"/>
      <c r="K32" s="347">
        <f>ROUND(+K30*0.35,6)</f>
        <v>3.3029999999999999E-3</v>
      </c>
      <c r="L32" s="327"/>
      <c r="M32" s="347">
        <f>ROUND(+M30*0.35,6)</f>
        <v>3.1719999999999999E-3</v>
      </c>
    </row>
    <row r="33" spans="1:13">
      <c r="A33" s="317"/>
      <c r="B33" s="308"/>
      <c r="C33" s="320"/>
      <c r="D33" s="320"/>
      <c r="E33" s="320"/>
      <c r="F33" s="320"/>
      <c r="G33" s="311"/>
      <c r="H33" s="311"/>
      <c r="I33" s="311"/>
      <c r="J33" s="311"/>
      <c r="K33" s="345"/>
      <c r="L33" s="327"/>
      <c r="M33" s="345"/>
    </row>
    <row r="34" spans="1:13" ht="13.5" thickBot="1">
      <c r="A34" s="317" t="s">
        <v>543</v>
      </c>
      <c r="B34" s="308"/>
      <c r="C34" s="320"/>
      <c r="D34" s="320"/>
      <c r="E34" s="320"/>
      <c r="F34" s="320"/>
      <c r="G34" s="311"/>
      <c r="H34" s="311"/>
      <c r="I34" s="311"/>
      <c r="J34" s="311"/>
      <c r="K34" s="348">
        <f>K21-K32</f>
        <v>6.1340535000000002E-3</v>
      </c>
      <c r="L34" s="327"/>
      <c r="M34" s="348">
        <f>M21-M32</f>
        <v>6.2920165099999998E-3</v>
      </c>
    </row>
    <row r="35" spans="1:13" ht="13.5" thickTop="1">
      <c r="A35" s="317"/>
      <c r="B35" s="308"/>
      <c r="C35" s="336"/>
      <c r="D35" s="336"/>
      <c r="E35" s="336"/>
      <c r="F35" s="336"/>
      <c r="G35" s="311"/>
      <c r="H35" s="311"/>
      <c r="I35" s="311"/>
      <c r="J35" s="311"/>
      <c r="K35" s="345"/>
      <c r="L35" s="327"/>
      <c r="M35" s="349"/>
    </row>
    <row r="36" spans="1:13" ht="13.5" thickBot="1">
      <c r="A36" s="337" t="s">
        <v>34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50">
        <f>1/(K34/K11)</f>
        <v>1.6302433619139449</v>
      </c>
      <c r="L36" s="351"/>
      <c r="M36" s="350">
        <f>1/(M34/M11)</f>
        <v>1.589315600826356</v>
      </c>
    </row>
    <row r="37" spans="1:13" ht="13.5" thickTop="1">
      <c r="A37" s="337"/>
      <c r="B37" s="337"/>
      <c r="C37" s="337"/>
      <c r="D37" s="337"/>
      <c r="E37" s="337"/>
      <c r="F37" s="337"/>
      <c r="G37" s="337"/>
      <c r="H37" s="337"/>
      <c r="I37" s="337"/>
      <c r="J37" s="337"/>
      <c r="K37" s="352"/>
      <c r="L37" s="327"/>
      <c r="M37" s="352"/>
    </row>
    <row r="38" spans="1:13">
      <c r="A38" s="337" t="s">
        <v>545</v>
      </c>
      <c r="B38" s="337"/>
      <c r="C38" s="337"/>
      <c r="D38" s="337"/>
      <c r="E38" s="337"/>
      <c r="F38" s="337"/>
      <c r="G38" s="337"/>
      <c r="H38" s="337"/>
      <c r="I38" s="337"/>
      <c r="J38" s="337"/>
      <c r="K38" s="353"/>
      <c r="L38" s="327"/>
      <c r="M38" s="327"/>
    </row>
    <row r="39" spans="1:13">
      <c r="A39" s="317" t="s">
        <v>546</v>
      </c>
      <c r="B39" s="308"/>
      <c r="C39" s="314"/>
      <c r="D39" s="314"/>
      <c r="E39" s="314"/>
      <c r="F39" s="314"/>
      <c r="G39" s="315"/>
      <c r="H39" s="315"/>
      <c r="I39" s="316"/>
      <c r="J39" s="316"/>
      <c r="K39" s="354">
        <v>0.01</v>
      </c>
      <c r="L39" s="355"/>
      <c r="M39" s="354">
        <v>0.01</v>
      </c>
    </row>
    <row r="40" spans="1:13">
      <c r="A40" s="317"/>
      <c r="B40" s="308"/>
      <c r="C40" s="322"/>
      <c r="D40" s="322"/>
      <c r="E40" s="322"/>
      <c r="F40" s="322"/>
      <c r="G40" s="316"/>
      <c r="H40" s="316"/>
      <c r="I40" s="322"/>
      <c r="J40" s="322"/>
      <c r="K40" s="344"/>
      <c r="L40" s="355"/>
      <c r="M40" s="344"/>
    </row>
    <row r="41" spans="1:13">
      <c r="A41" s="317" t="s">
        <v>544</v>
      </c>
      <c r="B41" s="308"/>
      <c r="C41" s="322"/>
      <c r="D41" s="322"/>
      <c r="E41" s="322"/>
      <c r="F41" s="322"/>
      <c r="G41" s="316"/>
      <c r="H41" s="316"/>
      <c r="I41" s="322"/>
      <c r="J41" s="322"/>
      <c r="K41" s="346"/>
      <c r="L41" s="327"/>
      <c r="M41" s="346"/>
    </row>
    <row r="42" spans="1:13">
      <c r="A42" s="325" t="s">
        <v>535</v>
      </c>
      <c r="B42" s="308"/>
      <c r="C42" s="322"/>
      <c r="D42" s="322"/>
      <c r="E42" s="322"/>
      <c r="F42" s="322"/>
      <c r="G42" s="316"/>
      <c r="H42" s="316"/>
      <c r="I42" s="322"/>
      <c r="J42" s="322"/>
      <c r="K42" s="326">
        <v>0</v>
      </c>
      <c r="L42" s="327"/>
      <c r="M42" s="326">
        <v>0.09</v>
      </c>
    </row>
    <row r="43" spans="1:13">
      <c r="A43" s="325" t="s">
        <v>536</v>
      </c>
      <c r="B43" s="308"/>
      <c r="C43" s="322"/>
      <c r="D43" s="322"/>
      <c r="E43" s="322"/>
      <c r="F43" s="322"/>
      <c r="G43" s="316"/>
      <c r="H43" s="316"/>
      <c r="I43" s="322"/>
      <c r="J43" s="322"/>
      <c r="K43" s="329">
        <f>K60</f>
        <v>0.50181852164083196</v>
      </c>
      <c r="L43" s="153"/>
      <c r="M43" s="329">
        <f>K60</f>
        <v>0.50181852164083196</v>
      </c>
    </row>
    <row r="44" spans="1:13">
      <c r="A44" s="328" t="s">
        <v>537</v>
      </c>
      <c r="B44" s="308"/>
      <c r="C44" s="322"/>
      <c r="D44" s="322"/>
      <c r="E44" s="322"/>
      <c r="F44" s="322"/>
      <c r="G44" s="316"/>
      <c r="H44" s="316"/>
      <c r="I44" s="322"/>
      <c r="J44" s="322"/>
      <c r="K44" s="329">
        <f>ROUND(K42*K43,4)</f>
        <v>0</v>
      </c>
      <c r="L44" s="327"/>
      <c r="M44" s="329">
        <f>ROUND(M42*M43,4)</f>
        <v>4.5199999999999997E-2</v>
      </c>
    </row>
    <row r="45" spans="1:13">
      <c r="A45" s="330" t="s">
        <v>538</v>
      </c>
      <c r="B45" s="308"/>
      <c r="C45" s="322"/>
      <c r="D45" s="322"/>
      <c r="E45" s="322"/>
      <c r="F45" s="322"/>
      <c r="G45" s="316"/>
      <c r="H45" s="316"/>
      <c r="I45" s="322"/>
      <c r="J45" s="322"/>
      <c r="K45" s="332">
        <f>ROUND(K39*K44,4)</f>
        <v>0</v>
      </c>
      <c r="L45" s="327"/>
      <c r="M45" s="332">
        <f>ROUND(M39*M44,4)</f>
        <v>5.0000000000000001E-4</v>
      </c>
    </row>
    <row r="46" spans="1:13">
      <c r="A46" s="328"/>
      <c r="B46" s="308"/>
      <c r="C46" s="322"/>
      <c r="D46" s="322"/>
      <c r="E46" s="322"/>
      <c r="F46" s="322"/>
      <c r="G46" s="316"/>
      <c r="H46" s="316"/>
      <c r="I46" s="322"/>
      <c r="J46" s="322"/>
      <c r="K46" s="333"/>
      <c r="L46" s="327"/>
      <c r="M46" s="334"/>
    </row>
    <row r="47" spans="1:13">
      <c r="A47" s="328" t="s">
        <v>556</v>
      </c>
      <c r="B47" s="308"/>
      <c r="C47" s="322"/>
      <c r="D47" s="322"/>
      <c r="E47" s="322"/>
      <c r="F47" s="322"/>
      <c r="G47" s="316"/>
      <c r="H47" s="316"/>
      <c r="I47" s="322"/>
      <c r="J47" s="322"/>
      <c r="K47" s="344">
        <f>K39-K45</f>
        <v>0.01</v>
      </c>
      <c r="L47" s="327"/>
      <c r="M47" s="344">
        <f>M39-M45</f>
        <v>9.4999999999999998E-3</v>
      </c>
    </row>
    <row r="48" spans="1:13">
      <c r="A48" s="317"/>
      <c r="B48" s="308"/>
      <c r="C48" s="320"/>
      <c r="D48" s="320"/>
      <c r="E48" s="320"/>
      <c r="F48" s="320"/>
      <c r="G48" s="311"/>
      <c r="H48" s="311"/>
      <c r="I48" s="311"/>
      <c r="J48" s="311"/>
      <c r="K48" s="345"/>
      <c r="L48" s="327"/>
      <c r="M48" s="345"/>
    </row>
    <row r="49" spans="1:13">
      <c r="A49" s="317" t="s">
        <v>558</v>
      </c>
      <c r="B49" s="308"/>
      <c r="C49" s="320"/>
      <c r="D49" s="320"/>
      <c r="E49" s="320"/>
      <c r="F49" s="320"/>
      <c r="G49" s="311"/>
      <c r="H49" s="311"/>
      <c r="I49" s="311"/>
      <c r="J49" s="311"/>
      <c r="K49" s="356">
        <f>ROUND(+K47*0.055,6)*100</f>
        <v>5.5E-2</v>
      </c>
      <c r="L49" s="357"/>
      <c r="M49" s="356">
        <f>ROUND(+M47*0.055,6)*100</f>
        <v>5.2299999999999999E-2</v>
      </c>
    </row>
    <row r="50" spans="1:13">
      <c r="A50" s="317"/>
      <c r="B50" s="308"/>
      <c r="C50" s="320"/>
      <c r="D50" s="320"/>
      <c r="E50" s="320"/>
      <c r="F50" s="320"/>
      <c r="G50" s="311"/>
      <c r="H50" s="311"/>
      <c r="I50" s="311"/>
      <c r="J50" s="311"/>
      <c r="K50" s="321"/>
      <c r="M50" s="321"/>
    </row>
    <row r="52" spans="1:13">
      <c r="A52" s="302" t="s">
        <v>555</v>
      </c>
      <c r="K52" s="313" t="s">
        <v>553</v>
      </c>
    </row>
    <row r="53" spans="1:13">
      <c r="B53" s="302" t="s">
        <v>547</v>
      </c>
      <c r="K53" s="341">
        <v>2306.7939999999999</v>
      </c>
    </row>
    <row r="54" spans="1:13">
      <c r="B54" s="302" t="s">
        <v>548</v>
      </c>
      <c r="K54" s="341">
        <v>7346.3360000000002</v>
      </c>
    </row>
    <row r="55" spans="1:13">
      <c r="B55" s="302" t="s">
        <v>549</v>
      </c>
      <c r="K55" s="341">
        <v>11011.694</v>
      </c>
    </row>
    <row r="56" spans="1:13">
      <c r="B56" s="302" t="s">
        <v>552</v>
      </c>
      <c r="K56" s="341">
        <v>-5586.3019999999997</v>
      </c>
    </row>
    <row r="57" spans="1:13">
      <c r="B57" s="302" t="s">
        <v>550</v>
      </c>
      <c r="K57" s="341">
        <f>SUM(K53:K56)</f>
        <v>15078.522000000001</v>
      </c>
    </row>
    <row r="58" spans="1:13">
      <c r="K58" s="341"/>
    </row>
    <row r="59" spans="1:13">
      <c r="B59" s="302" t="s">
        <v>551</v>
      </c>
      <c r="K59" s="342">
        <v>30047.758999999998</v>
      </c>
    </row>
    <row r="60" spans="1:13" ht="13.5" thickBot="1">
      <c r="B60" s="302" t="s">
        <v>554</v>
      </c>
      <c r="K60" s="343">
        <f>K57/K59</f>
        <v>0.50181852164083196</v>
      </c>
    </row>
    <row r="61" spans="1:13" ht="13.5" thickTop="1"/>
  </sheetData>
  <mergeCells count="5">
    <mergeCell ref="A1:M1"/>
    <mergeCell ref="A2:M2"/>
    <mergeCell ref="A3:M3"/>
    <mergeCell ref="A4:M4"/>
    <mergeCell ref="A5:M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Normal="100" workbookViewId="0">
      <selection activeCell="G9" sqref="G9"/>
    </sheetView>
  </sheetViews>
  <sheetFormatPr defaultRowHeight="12.75"/>
  <cols>
    <col min="1" max="1" width="0.85546875" customWidth="1"/>
    <col min="2" max="2" width="21.5703125" customWidth="1"/>
    <col min="3" max="3" width="2.140625" customWidth="1"/>
    <col min="4" max="4" width="12.7109375" customWidth="1"/>
    <col min="5" max="5" width="2.140625" customWidth="1"/>
    <col min="6" max="6" width="12.7109375" customWidth="1"/>
    <col min="7" max="7" width="2.140625" customWidth="1"/>
    <col min="8" max="8" width="12.85546875" customWidth="1"/>
    <col min="9" max="9" width="2.28515625" customWidth="1"/>
    <col min="10" max="10" width="9.7109375" customWidth="1"/>
    <col min="11" max="11" width="2.140625" customWidth="1"/>
    <col min="12" max="12" width="14" customWidth="1"/>
  </cols>
  <sheetData>
    <row r="1" spans="1:12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2">
      <c r="A2" s="375" t="s">
        <v>570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</row>
    <row r="4" spans="1:12">
      <c r="A4" s="375" t="s">
        <v>69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</row>
    <row r="5" spans="1:12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</row>
    <row r="6" spans="1:12">
      <c r="A6" s="273"/>
      <c r="B6" s="273"/>
      <c r="C6" s="273"/>
      <c r="D6" s="273"/>
      <c r="E6" s="273"/>
      <c r="F6" s="273"/>
      <c r="G6" s="273"/>
      <c r="H6" s="273"/>
    </row>
    <row r="7" spans="1:12">
      <c r="A7" s="29"/>
      <c r="B7" s="42"/>
      <c r="C7" s="42"/>
      <c r="D7" s="45"/>
      <c r="E7" s="45"/>
      <c r="F7" s="45"/>
      <c r="G7" s="42"/>
      <c r="H7" s="177"/>
      <c r="J7" s="29"/>
      <c r="L7" s="11" t="s">
        <v>560</v>
      </c>
    </row>
    <row r="8" spans="1:12">
      <c r="A8" s="29"/>
      <c r="B8" s="167" t="s">
        <v>571</v>
      </c>
      <c r="C8" s="42"/>
      <c r="D8" s="45"/>
      <c r="E8" s="45"/>
      <c r="F8" s="45"/>
      <c r="G8" s="42"/>
      <c r="H8" s="177"/>
      <c r="J8" s="29"/>
      <c r="L8" s="45">
        <v>1165.2260000000001</v>
      </c>
    </row>
    <row r="9" spans="1:12">
      <c r="A9" s="29"/>
      <c r="B9" s="167"/>
      <c r="C9" s="42"/>
      <c r="D9" s="45"/>
      <c r="E9" s="45"/>
      <c r="F9" s="45"/>
      <c r="G9" s="42"/>
      <c r="H9" s="177"/>
      <c r="J9" s="29"/>
      <c r="L9" s="45"/>
    </row>
    <row r="10" spans="1:12">
      <c r="A10" s="29"/>
      <c r="B10" s="167" t="s">
        <v>572</v>
      </c>
      <c r="C10" s="42"/>
      <c r="D10" s="236" t="s">
        <v>590</v>
      </c>
      <c r="E10" s="45"/>
      <c r="F10" s="45"/>
      <c r="G10" s="42"/>
      <c r="H10" s="177"/>
      <c r="J10" s="29"/>
      <c r="L10" s="45">
        <f>L8*0.025</f>
        <v>29.130650000000003</v>
      </c>
    </row>
    <row r="11" spans="1:12">
      <c r="A11" s="29"/>
      <c r="B11" s="167"/>
      <c r="C11" s="42"/>
      <c r="D11" s="45"/>
      <c r="E11" s="45"/>
      <c r="F11" s="45"/>
      <c r="G11" s="42"/>
      <c r="H11" s="177"/>
      <c r="J11" s="29"/>
      <c r="L11" s="45"/>
    </row>
    <row r="12" spans="1:12">
      <c r="A12" s="29"/>
      <c r="B12" s="167" t="s">
        <v>573</v>
      </c>
      <c r="C12" s="42"/>
      <c r="D12" s="45"/>
      <c r="E12" s="45"/>
      <c r="F12" s="45"/>
      <c r="G12" s="42"/>
      <c r="H12" s="177"/>
      <c r="J12" s="29"/>
      <c r="L12" s="198">
        <v>41.104999999999997</v>
      </c>
    </row>
    <row r="13" spans="1:12">
      <c r="A13" s="29"/>
      <c r="B13" s="167"/>
      <c r="C13" s="42"/>
      <c r="D13" s="45"/>
      <c r="E13" s="45"/>
      <c r="F13" s="45"/>
      <c r="G13" s="42"/>
      <c r="H13" s="177"/>
      <c r="J13" s="29"/>
      <c r="L13" s="45"/>
    </row>
    <row r="14" spans="1:12" ht="13.5" thickBot="1">
      <c r="A14" s="29"/>
      <c r="B14" s="167" t="s">
        <v>574</v>
      </c>
      <c r="C14" s="42"/>
      <c r="D14" s="45"/>
      <c r="E14" s="45"/>
      <c r="F14" s="45"/>
      <c r="G14" s="42"/>
      <c r="H14" s="177"/>
      <c r="J14" s="29"/>
      <c r="L14" s="203">
        <f>L10-L12</f>
        <v>-11.974349999999994</v>
      </c>
    </row>
    <row r="15" spans="1:12" ht="13.5" thickTop="1">
      <c r="A15" s="29"/>
      <c r="B15" s="167"/>
      <c r="C15" s="42"/>
      <c r="D15" s="45"/>
      <c r="E15" s="45"/>
      <c r="F15" s="45"/>
      <c r="G15" s="42"/>
      <c r="H15" s="177"/>
      <c r="J15" s="29"/>
      <c r="L15" s="45"/>
    </row>
    <row r="16" spans="1:12">
      <c r="A16" s="29"/>
      <c r="B16" s="167" t="s">
        <v>575</v>
      </c>
      <c r="C16" s="42"/>
      <c r="D16" s="45"/>
      <c r="E16" s="45"/>
      <c r="F16" s="45"/>
      <c r="G16" s="42"/>
      <c r="H16" s="177"/>
      <c r="J16" s="29"/>
      <c r="L16" s="45">
        <f>-L14*0.5</f>
        <v>5.987174999999997</v>
      </c>
    </row>
    <row r="17" spans="1:12">
      <c r="A17" s="29"/>
      <c r="B17" s="167" t="s">
        <v>468</v>
      </c>
      <c r="C17" s="42"/>
      <c r="D17" s="45"/>
      <c r="E17" s="45"/>
      <c r="F17" s="45"/>
      <c r="G17" s="42"/>
      <c r="H17" s="177"/>
      <c r="J17" s="29"/>
      <c r="L17" s="198">
        <f>-L16*0.38575</f>
        <v>-2.3095527562499987</v>
      </c>
    </row>
    <row r="18" spans="1:12">
      <c r="A18" s="29"/>
      <c r="B18" s="167" t="s">
        <v>425</v>
      </c>
      <c r="C18" s="42"/>
      <c r="D18" s="45"/>
      <c r="E18" s="45"/>
      <c r="F18" s="45"/>
      <c r="G18" s="42"/>
      <c r="H18" s="177"/>
      <c r="J18" s="29"/>
      <c r="L18" s="45">
        <f>SUM(L16:L17)</f>
        <v>3.6776222437499984</v>
      </c>
    </row>
    <row r="19" spans="1:12">
      <c r="A19" s="29"/>
      <c r="B19" s="167" t="s">
        <v>422</v>
      </c>
      <c r="C19" s="42"/>
      <c r="D19" s="45"/>
      <c r="E19" s="45"/>
      <c r="F19" s="259"/>
      <c r="G19" s="42"/>
      <c r="H19" s="177"/>
      <c r="J19" s="29"/>
      <c r="L19" s="260">
        <f>'Exh. LK-30'!H16</f>
        <v>0.13253778780258929</v>
      </c>
    </row>
    <row r="20" spans="1:12" ht="13.5" thickBot="1">
      <c r="A20" s="29"/>
      <c r="B20" s="167" t="s">
        <v>423</v>
      </c>
      <c r="C20" s="42"/>
      <c r="D20" s="45"/>
      <c r="E20" s="45"/>
      <c r="F20" s="45"/>
      <c r="G20" s="42"/>
      <c r="H20" s="177"/>
      <c r="J20" s="29"/>
      <c r="L20" s="261">
        <f>L18*L19</f>
        <v>0.48742391656021961</v>
      </c>
    </row>
    <row r="21" spans="1:12" ht="13.5" thickTop="1">
      <c r="A21" s="29"/>
      <c r="B21" s="42"/>
      <c r="C21" s="42"/>
      <c r="D21" s="45"/>
      <c r="E21" s="45"/>
      <c r="F21" s="45"/>
      <c r="G21" s="42"/>
      <c r="H21" s="177"/>
      <c r="J21" s="29"/>
    </row>
    <row r="22" spans="1:12" ht="13.5" thickBot="1">
      <c r="A22" s="29"/>
      <c r="B22" s="167" t="s">
        <v>432</v>
      </c>
      <c r="C22" s="42"/>
      <c r="D22" s="45"/>
      <c r="E22" s="45"/>
      <c r="F22" s="45"/>
      <c r="G22" s="42"/>
      <c r="H22" s="177"/>
      <c r="J22" s="29"/>
      <c r="L22" s="209">
        <f>L14+L20</f>
        <v>-11.486926083439775</v>
      </c>
    </row>
    <row r="23" spans="1:12" ht="13.5" thickTop="1">
      <c r="A23" s="29"/>
      <c r="B23" s="42"/>
      <c r="C23" s="42"/>
      <c r="D23" s="45"/>
      <c r="E23" s="45"/>
      <c r="F23" s="45"/>
      <c r="G23" s="42"/>
      <c r="H23" s="177"/>
      <c r="J23" s="29"/>
    </row>
  </sheetData>
  <mergeCells count="5">
    <mergeCell ref="A1:L1"/>
    <mergeCell ref="A2:L2"/>
    <mergeCell ref="A3:L3"/>
    <mergeCell ref="A4:L4"/>
    <mergeCell ref="A5:L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Layout" zoomScaleNormal="100" workbookViewId="0">
      <selection activeCell="G9" sqref="G9"/>
    </sheetView>
  </sheetViews>
  <sheetFormatPr defaultRowHeight="12.75"/>
  <cols>
    <col min="1" max="1" width="2.7109375" customWidth="1"/>
    <col min="2" max="2" width="65.7109375" customWidth="1"/>
    <col min="3" max="3" width="6.28515625" customWidth="1"/>
    <col min="4" max="4" width="13.42578125" customWidth="1"/>
    <col min="5" max="5" width="10" customWidth="1"/>
  </cols>
  <sheetData>
    <row r="1" spans="1:4">
      <c r="A1" s="34" t="s">
        <v>33</v>
      </c>
      <c r="B1" s="9"/>
      <c r="C1" s="9"/>
      <c r="D1" s="9"/>
    </row>
    <row r="2" spans="1:4">
      <c r="A2" s="34" t="s">
        <v>70</v>
      </c>
      <c r="B2" s="9"/>
      <c r="C2" s="9"/>
      <c r="D2" s="9"/>
    </row>
    <row r="3" spans="1:4">
      <c r="A3" s="34" t="s">
        <v>65</v>
      </c>
      <c r="B3" s="9"/>
      <c r="C3" s="9"/>
      <c r="D3" s="9"/>
    </row>
    <row r="4" spans="1:4">
      <c r="A4" s="34" t="s">
        <v>69</v>
      </c>
      <c r="B4" s="9"/>
      <c r="C4" s="9"/>
      <c r="D4" s="9"/>
    </row>
    <row r="5" spans="1:4">
      <c r="A5" s="377" t="s">
        <v>19</v>
      </c>
      <c r="B5" s="377"/>
      <c r="C5" s="377"/>
      <c r="D5" s="377"/>
    </row>
    <row r="6" spans="1:4">
      <c r="A6" s="1"/>
      <c r="B6" s="1"/>
      <c r="C6" s="1"/>
      <c r="D6" s="1"/>
    </row>
    <row r="7" spans="1:4">
      <c r="D7" s="11" t="s">
        <v>15</v>
      </c>
    </row>
    <row r="8" spans="1:4">
      <c r="D8" s="10"/>
    </row>
    <row r="9" spans="1:4">
      <c r="A9" s="4" t="s">
        <v>29</v>
      </c>
      <c r="B9" s="4"/>
      <c r="C9" s="4"/>
      <c r="D9" s="14">
        <v>1063.3150000000001</v>
      </c>
    </row>
    <row r="10" spans="1:4">
      <c r="A10" s="4"/>
      <c r="B10" s="4"/>
      <c r="C10" s="4"/>
      <c r="D10" s="15"/>
    </row>
    <row r="11" spans="1:4">
      <c r="A11" s="4" t="s">
        <v>16</v>
      </c>
      <c r="B11" s="4"/>
      <c r="C11" s="4"/>
      <c r="D11" s="16"/>
    </row>
    <row r="12" spans="1:4">
      <c r="A12" s="4"/>
      <c r="B12" s="12" t="s">
        <v>54</v>
      </c>
      <c r="C12" s="12"/>
      <c r="D12" s="28">
        <f>-((417.482*0.38575)-85.747)*0.948824</f>
        <v>-71.443298527555996</v>
      </c>
    </row>
    <row r="13" spans="1:4">
      <c r="A13" s="4"/>
      <c r="B13" s="152" t="s">
        <v>576</v>
      </c>
      <c r="C13" s="4"/>
      <c r="D13" s="22">
        <f>'Exh. LK-34'!L18*-1</f>
        <v>-3.6776222437499984</v>
      </c>
    </row>
    <row r="14" spans="1:4">
      <c r="A14" s="4"/>
      <c r="B14" s="4"/>
      <c r="C14" s="4"/>
      <c r="D14" s="13"/>
    </row>
    <row r="15" spans="1:4">
      <c r="A15" s="4" t="s">
        <v>17</v>
      </c>
      <c r="B15" s="4"/>
      <c r="C15" s="4"/>
      <c r="D15" s="22">
        <f>SUM(D11:D13)</f>
        <v>-75.12092077130599</v>
      </c>
    </row>
    <row r="16" spans="1:4">
      <c r="A16" s="4"/>
      <c r="B16" s="4"/>
      <c r="C16" s="4"/>
      <c r="D16" s="15"/>
    </row>
    <row r="17" spans="1:4" ht="13.5" thickBot="1">
      <c r="A17" s="4" t="s">
        <v>18</v>
      </c>
      <c r="B17" s="4"/>
      <c r="C17" s="4"/>
      <c r="D17" s="17">
        <f>D9+D15</f>
        <v>988.19407922869402</v>
      </c>
    </row>
    <row r="18" spans="1:4" ht="13.5" thickTop="1">
      <c r="A18" s="4"/>
      <c r="B18" s="4"/>
      <c r="C18" s="4"/>
      <c r="D18" s="4"/>
    </row>
    <row r="19" spans="1:4">
      <c r="B19" s="4"/>
      <c r="C19" s="4"/>
      <c r="D19" s="4"/>
    </row>
  </sheetData>
  <mergeCells count="1">
    <mergeCell ref="A5:D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view="pageLayout" zoomScaleNormal="100" workbookViewId="0">
      <selection activeCell="G9" sqref="G9"/>
    </sheetView>
  </sheetViews>
  <sheetFormatPr defaultRowHeight="12.75"/>
  <cols>
    <col min="1" max="1" width="10" customWidth="1"/>
    <col min="2" max="2" width="11" customWidth="1"/>
    <col min="3" max="3" width="12" customWidth="1"/>
    <col min="4" max="6" width="11.7109375" customWidth="1"/>
    <col min="7" max="7" width="5.5703125" customWidth="1"/>
    <col min="8" max="8" width="12.42578125" customWidth="1"/>
    <col min="9" max="9" width="3.140625" customWidth="1"/>
    <col min="10" max="10" width="11.7109375" customWidth="1"/>
  </cols>
  <sheetData>
    <row r="1" spans="1:10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>
      <c r="A2" s="375" t="s">
        <v>409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>
      <c r="A3" s="375" t="s">
        <v>410</v>
      </c>
      <c r="B3" s="374"/>
      <c r="C3" s="374"/>
      <c r="D3" s="374"/>
      <c r="E3" s="374"/>
      <c r="F3" s="374"/>
      <c r="G3" s="374"/>
      <c r="H3" s="374"/>
      <c r="I3" s="374"/>
      <c r="J3" s="374"/>
    </row>
    <row r="4" spans="1:10">
      <c r="A4" s="376" t="s">
        <v>65</v>
      </c>
      <c r="B4" s="376"/>
      <c r="C4" s="376"/>
      <c r="D4" s="376"/>
      <c r="E4" s="376"/>
      <c r="F4" s="376"/>
      <c r="G4" s="376"/>
      <c r="H4" s="376"/>
      <c r="I4" s="376"/>
      <c r="J4" s="376"/>
    </row>
    <row r="5" spans="1:10">
      <c r="A5" s="375" t="s">
        <v>373</v>
      </c>
      <c r="B5" s="374"/>
      <c r="C5" s="374"/>
      <c r="D5" s="374"/>
      <c r="E5" s="374"/>
      <c r="F5" s="374"/>
      <c r="G5" s="374"/>
      <c r="H5" s="374"/>
      <c r="I5" s="374"/>
      <c r="J5" s="374"/>
    </row>
    <row r="6" spans="1:10">
      <c r="A6" s="374" t="s">
        <v>19</v>
      </c>
      <c r="B6" s="374"/>
      <c r="C6" s="374"/>
      <c r="D6" s="374"/>
      <c r="E6" s="374"/>
      <c r="F6" s="374"/>
      <c r="G6" s="374"/>
      <c r="H6" s="374"/>
      <c r="I6" s="374"/>
      <c r="J6" s="374"/>
    </row>
    <row r="7" spans="1:10">
      <c r="A7" s="163"/>
      <c r="B7" s="163"/>
      <c r="C7" s="163"/>
      <c r="D7" s="163"/>
      <c r="E7" s="163"/>
      <c r="F7" s="163"/>
      <c r="G7" s="163"/>
      <c r="H7" s="163"/>
      <c r="I7" s="163"/>
      <c r="J7" s="163"/>
    </row>
    <row r="8" spans="1:10">
      <c r="A8" s="166" t="s">
        <v>372</v>
      </c>
      <c r="B8" s="39"/>
      <c r="C8" s="39"/>
      <c r="D8" s="39"/>
      <c r="E8" s="39"/>
      <c r="F8" s="39"/>
      <c r="G8" s="39"/>
      <c r="H8" s="60">
        <v>2017</v>
      </c>
      <c r="I8" s="39"/>
      <c r="J8" s="60">
        <v>2018</v>
      </c>
    </row>
    <row r="9" spans="1:10">
      <c r="A9" s="38"/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166" t="s">
        <v>411</v>
      </c>
      <c r="B10" s="39"/>
      <c r="C10" s="39"/>
      <c r="D10" s="39"/>
      <c r="E10" s="39"/>
      <c r="F10" s="39"/>
      <c r="G10" s="39"/>
      <c r="H10" s="227">
        <v>22.093</v>
      </c>
      <c r="I10" s="39"/>
      <c r="J10" s="227">
        <v>22.093</v>
      </c>
    </row>
    <row r="11" spans="1:10">
      <c r="A11" s="166" t="s">
        <v>412</v>
      </c>
      <c r="B11" s="39"/>
      <c r="C11" s="39"/>
      <c r="D11" s="39"/>
      <c r="E11" s="39"/>
      <c r="F11" s="39"/>
      <c r="G11" s="39"/>
      <c r="H11" s="258">
        <v>100.649</v>
      </c>
      <c r="I11" s="39"/>
      <c r="J11" s="258">
        <v>100.649</v>
      </c>
    </row>
    <row r="12" spans="1:10">
      <c r="A12" s="166"/>
      <c r="B12" s="39"/>
      <c r="C12" s="39"/>
      <c r="D12" s="39"/>
      <c r="E12" s="39"/>
      <c r="F12" s="39"/>
      <c r="G12" s="39"/>
      <c r="H12" s="227">
        <f>SUM(H10:H11)</f>
        <v>122.742</v>
      </c>
      <c r="I12" s="39"/>
      <c r="J12" s="227">
        <f>SUM(J10:J11)</f>
        <v>122.742</v>
      </c>
    </row>
    <row r="13" spans="1:10">
      <c r="A13" s="166"/>
      <c r="B13" s="39"/>
      <c r="C13" s="39"/>
      <c r="D13" s="39"/>
      <c r="E13" s="39"/>
      <c r="F13" s="39"/>
      <c r="G13" s="39"/>
      <c r="H13" s="39"/>
      <c r="I13" s="39"/>
      <c r="J13" s="39"/>
    </row>
    <row r="14" spans="1:10">
      <c r="A14" s="166" t="s">
        <v>374</v>
      </c>
      <c r="B14" s="166"/>
      <c r="C14" s="166"/>
      <c r="D14" s="166"/>
      <c r="E14" s="166"/>
      <c r="F14" s="166"/>
      <c r="G14" s="166"/>
      <c r="H14" s="228">
        <v>4</v>
      </c>
      <c r="I14" s="39"/>
      <c r="J14" s="228">
        <v>4</v>
      </c>
    </row>
    <row r="15" spans="1:10">
      <c r="A15" s="166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3.5" thickBot="1">
      <c r="A16" s="166" t="s">
        <v>376</v>
      </c>
      <c r="B16" s="176"/>
      <c r="C16" s="176"/>
      <c r="D16" s="176"/>
      <c r="E16" s="176"/>
      <c r="F16" s="176"/>
      <c r="G16" s="176"/>
      <c r="H16" s="230">
        <f>-H12/H14</f>
        <v>-30.685500000000001</v>
      </c>
      <c r="I16" s="39"/>
      <c r="J16" s="230">
        <f>-J12/J14</f>
        <v>-30.685500000000001</v>
      </c>
    </row>
    <row r="17" spans="1:11" ht="13.5" thickTop="1">
      <c r="A17" s="166"/>
      <c r="B17" s="166"/>
      <c r="C17" s="166"/>
      <c r="D17" s="166"/>
      <c r="E17" s="166"/>
      <c r="F17" s="166"/>
      <c r="G17" s="166"/>
      <c r="H17" s="39"/>
      <c r="I17" s="39"/>
      <c r="J17" s="39"/>
    </row>
    <row r="18" spans="1:11">
      <c r="A18" s="166" t="s">
        <v>413</v>
      </c>
      <c r="B18" s="166"/>
      <c r="C18" s="166"/>
      <c r="D18" s="166"/>
      <c r="E18" s="166"/>
      <c r="F18" s="166"/>
      <c r="G18" s="166"/>
      <c r="H18" s="227">
        <v>-1.407</v>
      </c>
      <c r="I18" s="227"/>
      <c r="J18" s="227">
        <v>-1.407</v>
      </c>
    </row>
    <row r="19" spans="1:11">
      <c r="A19" s="166" t="s">
        <v>414</v>
      </c>
      <c r="B19" s="166"/>
      <c r="C19" s="166"/>
      <c r="D19" s="166"/>
      <c r="E19" s="166"/>
      <c r="F19" s="166"/>
      <c r="G19" s="166"/>
      <c r="H19" s="258">
        <v>-11.754</v>
      </c>
      <c r="I19" s="227"/>
      <c r="J19" s="258">
        <v>-11.754</v>
      </c>
    </row>
    <row r="20" spans="1:11">
      <c r="A20" s="166" t="s">
        <v>415</v>
      </c>
      <c r="B20" s="166"/>
      <c r="C20" s="166"/>
      <c r="D20" s="166"/>
      <c r="E20" s="166"/>
      <c r="F20" s="166"/>
      <c r="G20" s="166"/>
      <c r="H20" s="59">
        <f>SUM(H16:H19)</f>
        <v>-43.846499999999999</v>
      </c>
      <c r="I20" s="227"/>
      <c r="J20" s="59">
        <f>SUM(J16:J19)</f>
        <v>-43.846499999999999</v>
      </c>
    </row>
    <row r="21" spans="1:11">
      <c r="A21" s="166"/>
      <c r="B21" s="166"/>
      <c r="C21" s="166"/>
      <c r="D21" s="166"/>
      <c r="E21" s="166"/>
      <c r="F21" s="166"/>
      <c r="G21" s="166"/>
      <c r="H21" s="227"/>
      <c r="I21" s="227"/>
      <c r="J21" s="227"/>
    </row>
    <row r="22" spans="1:11">
      <c r="A22" s="166" t="s">
        <v>418</v>
      </c>
      <c r="B22" s="39"/>
      <c r="C22" s="39"/>
      <c r="D22" s="39"/>
      <c r="E22" s="39"/>
      <c r="F22" s="39"/>
      <c r="G22" s="39"/>
      <c r="H22" s="233">
        <v>0.94858699999999996</v>
      </c>
      <c r="I22" s="232"/>
      <c r="J22" s="233">
        <v>0.94865900000000003</v>
      </c>
      <c r="K22" s="191"/>
    </row>
    <row r="23" spans="1:11">
      <c r="A23" s="166"/>
      <c r="B23" s="39"/>
      <c r="C23" s="39"/>
      <c r="D23" s="39"/>
      <c r="E23" s="39"/>
      <c r="F23" s="39"/>
      <c r="G23" s="39"/>
      <c r="H23" s="232"/>
      <c r="I23" s="232"/>
      <c r="J23" s="232"/>
      <c r="K23" s="191"/>
    </row>
    <row r="24" spans="1:11" ht="13.5" thickBot="1">
      <c r="A24" s="166" t="s">
        <v>416</v>
      </c>
      <c r="B24" s="39"/>
      <c r="C24" s="39"/>
      <c r="D24" s="39"/>
      <c r="E24" s="39"/>
      <c r="F24" s="39"/>
      <c r="G24" s="39"/>
      <c r="H24" s="230">
        <f>H20*H22</f>
        <v>-41.592219895499994</v>
      </c>
      <c r="I24" s="232"/>
      <c r="J24" s="230">
        <f>J20*J22</f>
        <v>-41.595376843499999</v>
      </c>
      <c r="K24" s="191"/>
    </row>
    <row r="25" spans="1:11" ht="13.5" thickTop="1">
      <c r="A25" s="166"/>
      <c r="B25" s="39"/>
      <c r="C25" s="39"/>
      <c r="D25" s="39"/>
      <c r="E25" s="39"/>
      <c r="F25" s="39"/>
      <c r="G25" s="39"/>
      <c r="H25" s="229"/>
      <c r="I25" s="232"/>
      <c r="J25" s="229"/>
      <c r="K25" s="191"/>
    </row>
    <row r="26" spans="1:11">
      <c r="A26" s="166"/>
      <c r="B26" s="39"/>
      <c r="C26" s="39"/>
      <c r="D26" s="39"/>
      <c r="E26" s="39"/>
      <c r="F26" s="39"/>
      <c r="G26" s="39"/>
      <c r="H26" s="229"/>
      <c r="I26" s="232"/>
      <c r="J26" s="229"/>
      <c r="K26" s="191"/>
    </row>
    <row r="27" spans="1:11">
      <c r="A27" s="166"/>
      <c r="B27" s="39"/>
      <c r="C27" s="39"/>
      <c r="D27" s="39"/>
      <c r="E27" s="39"/>
      <c r="F27" s="39"/>
      <c r="G27" s="39"/>
      <c r="H27" s="39"/>
      <c r="I27" s="39"/>
      <c r="J27" s="39"/>
    </row>
    <row r="28" spans="1:11">
      <c r="A28" s="166" t="s">
        <v>379</v>
      </c>
      <c r="B28" s="39"/>
      <c r="C28" s="39"/>
      <c r="D28" s="39"/>
      <c r="E28" s="39"/>
      <c r="F28" s="39"/>
      <c r="G28" s="39"/>
      <c r="H28" s="231">
        <f>(B56-B51)*H22</f>
        <v>20.796584241250009</v>
      </c>
      <c r="I28" s="39"/>
      <c r="J28" s="231">
        <f>(E56-E51)*J22</f>
        <v>62.394013924249982</v>
      </c>
    </row>
    <row r="29" spans="1:11">
      <c r="A29" s="29"/>
      <c r="B29" s="42"/>
      <c r="C29" s="42"/>
      <c r="D29" s="42"/>
      <c r="E29" s="42"/>
      <c r="F29" s="42"/>
      <c r="G29" s="42"/>
      <c r="H29" s="42"/>
      <c r="I29" s="42"/>
      <c r="J29" s="42"/>
    </row>
    <row r="30" spans="1:11">
      <c r="A30" s="41" t="s">
        <v>55</v>
      </c>
      <c r="B30" s="41"/>
      <c r="C30" s="41"/>
      <c r="D30" s="41"/>
      <c r="E30" s="41"/>
      <c r="F30" s="41"/>
      <c r="G30" s="41"/>
      <c r="H30" s="51">
        <f>'Exh. LK-28'!J19</f>
        <v>9.8804316192411479E-2</v>
      </c>
      <c r="I30" s="41"/>
      <c r="J30" s="51">
        <f>'Exh. LK-29'!J19</f>
        <v>9.9784915778226832E-2</v>
      </c>
    </row>
    <row r="31" spans="1:11">
      <c r="A31" s="41"/>
      <c r="B31" s="41"/>
      <c r="C31" s="41"/>
      <c r="D31" s="41"/>
      <c r="E31" s="41"/>
      <c r="F31" s="41"/>
      <c r="G31" s="41"/>
      <c r="H31" s="41"/>
      <c r="I31" s="41"/>
      <c r="J31" s="41"/>
    </row>
    <row r="32" spans="1:11" ht="13.5" thickBot="1">
      <c r="A32" s="167" t="s">
        <v>377</v>
      </c>
      <c r="B32" s="167"/>
      <c r="C32" s="167"/>
      <c r="D32" s="167"/>
      <c r="E32" s="167"/>
      <c r="F32" s="167"/>
      <c r="G32" s="167"/>
      <c r="H32" s="58">
        <f>H28*H30</f>
        <v>2.0547922850945879</v>
      </c>
      <c r="I32" s="41"/>
      <c r="J32" s="58">
        <f>J28*J30</f>
        <v>6.2259814244967968</v>
      </c>
    </row>
    <row r="33" spans="1:10" ht="13.5" thickTop="1">
      <c r="A33" s="167"/>
      <c r="B33" s="167"/>
      <c r="C33" s="167"/>
      <c r="D33" s="167"/>
      <c r="E33" s="167"/>
      <c r="F33" s="167"/>
      <c r="G33" s="167"/>
      <c r="H33" s="44"/>
      <c r="I33" s="41"/>
      <c r="J33" s="44"/>
    </row>
    <row r="34" spans="1:10">
      <c r="A34" s="167"/>
      <c r="B34" s="167"/>
      <c r="C34" s="167"/>
      <c r="D34" s="167"/>
      <c r="E34" s="167"/>
      <c r="F34" s="167"/>
      <c r="G34" s="167"/>
      <c r="H34" s="44"/>
      <c r="I34" s="41"/>
      <c r="J34" s="44"/>
    </row>
    <row r="35" spans="1:10">
      <c r="A35" s="29"/>
      <c r="B35" s="167" t="s">
        <v>382</v>
      </c>
      <c r="C35" s="42"/>
      <c r="D35" s="42"/>
      <c r="E35" s="42"/>
      <c r="F35" s="42"/>
      <c r="G35" s="42"/>
      <c r="H35" s="42"/>
      <c r="I35" s="42"/>
      <c r="J35" s="42"/>
    </row>
    <row r="36" spans="1:10">
      <c r="A36" s="29"/>
      <c r="B36" s="155" t="s">
        <v>57</v>
      </c>
      <c r="C36" s="42"/>
      <c r="D36" s="42"/>
      <c r="E36" s="42"/>
      <c r="F36" s="42"/>
      <c r="G36" s="42"/>
      <c r="H36" s="42"/>
      <c r="I36" s="42"/>
      <c r="J36" s="42"/>
    </row>
    <row r="37" spans="1:10">
      <c r="A37" s="234">
        <v>42705</v>
      </c>
      <c r="B37" s="236">
        <f>H12</f>
        <v>122.742</v>
      </c>
      <c r="C37" s="167"/>
      <c r="D37" s="234">
        <v>43070</v>
      </c>
      <c r="E37" s="237">
        <f>B49</f>
        <v>92.056500000000014</v>
      </c>
      <c r="F37" s="167"/>
      <c r="G37" s="167"/>
      <c r="H37" s="42"/>
      <c r="I37" s="42"/>
      <c r="J37" s="42"/>
    </row>
    <row r="38" spans="1:10">
      <c r="A38" s="235">
        <v>42736</v>
      </c>
      <c r="B38" s="45">
        <f>B37+($H$16/12)</f>
        <v>120.18487500000001</v>
      </c>
      <c r="C38" s="42"/>
      <c r="D38" s="235">
        <v>43101</v>
      </c>
      <c r="E38" s="45">
        <f>E37+($J$16/12)</f>
        <v>89.499375000000015</v>
      </c>
      <c r="F38" s="42"/>
      <c r="G38" s="42"/>
      <c r="H38" s="42"/>
      <c r="I38" s="42"/>
      <c r="J38" s="42"/>
    </row>
    <row r="39" spans="1:10">
      <c r="A39" s="234">
        <v>42767</v>
      </c>
      <c r="B39" s="45">
        <f t="shared" ref="B39:B49" si="0">B38+($H$16/12)</f>
        <v>117.62775000000001</v>
      </c>
      <c r="C39" s="42"/>
      <c r="D39" s="234">
        <v>43132</v>
      </c>
      <c r="E39" s="45">
        <f t="shared" ref="E39:E49" si="1">E38+($J$16/12)</f>
        <v>86.942250000000016</v>
      </c>
      <c r="F39" s="42"/>
      <c r="G39" s="42"/>
      <c r="H39" s="42"/>
      <c r="I39" s="42"/>
      <c r="J39" s="42"/>
    </row>
    <row r="40" spans="1:10">
      <c r="A40" s="235">
        <v>42795</v>
      </c>
      <c r="B40" s="45">
        <f t="shared" si="0"/>
        <v>115.07062500000001</v>
      </c>
      <c r="C40" s="42"/>
      <c r="D40" s="235">
        <v>43160</v>
      </c>
      <c r="E40" s="45">
        <f t="shared" si="1"/>
        <v>84.385125000000016</v>
      </c>
      <c r="F40" s="42"/>
      <c r="G40" s="42"/>
      <c r="H40" s="42"/>
      <c r="I40" s="42"/>
      <c r="J40" s="42"/>
    </row>
    <row r="41" spans="1:10">
      <c r="A41" s="234">
        <v>42826</v>
      </c>
      <c r="B41" s="45">
        <f t="shared" si="0"/>
        <v>112.51350000000001</v>
      </c>
      <c r="C41" s="42"/>
      <c r="D41" s="234">
        <v>43191</v>
      </c>
      <c r="E41" s="45">
        <f t="shared" si="1"/>
        <v>81.828000000000017</v>
      </c>
      <c r="F41" s="42"/>
      <c r="G41" s="42"/>
      <c r="H41" s="42"/>
      <c r="I41" s="42"/>
      <c r="J41" s="42"/>
    </row>
    <row r="42" spans="1:10">
      <c r="A42" s="235">
        <v>42856</v>
      </c>
      <c r="B42" s="45">
        <f t="shared" si="0"/>
        <v>109.95637500000001</v>
      </c>
      <c r="C42" s="42"/>
      <c r="D42" s="235">
        <v>43221</v>
      </c>
      <c r="E42" s="45">
        <f t="shared" si="1"/>
        <v>79.270875000000018</v>
      </c>
      <c r="F42" s="42"/>
      <c r="G42" s="42"/>
      <c r="H42" s="42"/>
      <c r="I42" s="42"/>
      <c r="J42" s="42"/>
    </row>
    <row r="43" spans="1:10">
      <c r="A43" s="234">
        <v>42887</v>
      </c>
      <c r="B43" s="45">
        <f t="shared" si="0"/>
        <v>107.39925000000001</v>
      </c>
      <c r="C43" s="42"/>
      <c r="D43" s="234">
        <v>43252</v>
      </c>
      <c r="E43" s="45">
        <f t="shared" si="1"/>
        <v>76.713750000000019</v>
      </c>
      <c r="F43" s="42"/>
      <c r="G43" s="42"/>
      <c r="H43" s="42"/>
      <c r="I43" s="42"/>
      <c r="J43" s="42"/>
    </row>
    <row r="44" spans="1:10">
      <c r="A44" s="235">
        <v>42917</v>
      </c>
      <c r="B44" s="45">
        <f t="shared" si="0"/>
        <v>104.84212500000001</v>
      </c>
      <c r="C44" s="42"/>
      <c r="D44" s="235">
        <v>43282</v>
      </c>
      <c r="E44" s="45">
        <f t="shared" si="1"/>
        <v>74.15662500000002</v>
      </c>
      <c r="F44" s="42"/>
      <c r="G44" s="42"/>
      <c r="H44" s="42"/>
      <c r="I44" s="42"/>
      <c r="J44" s="42"/>
    </row>
    <row r="45" spans="1:10">
      <c r="A45" s="234">
        <v>42948</v>
      </c>
      <c r="B45" s="45">
        <f t="shared" si="0"/>
        <v>102.28500000000001</v>
      </c>
      <c r="C45" s="42"/>
      <c r="D45" s="234">
        <v>43313</v>
      </c>
      <c r="E45" s="45">
        <f t="shared" si="1"/>
        <v>71.59950000000002</v>
      </c>
      <c r="F45" s="42"/>
      <c r="G45" s="42"/>
      <c r="H45" s="42"/>
      <c r="I45" s="42"/>
      <c r="J45" s="45"/>
    </row>
    <row r="46" spans="1:10">
      <c r="A46" s="235">
        <v>42979</v>
      </c>
      <c r="B46" s="45">
        <f t="shared" si="0"/>
        <v>99.727875000000012</v>
      </c>
      <c r="C46" s="42"/>
      <c r="D46" s="235">
        <v>43344</v>
      </c>
      <c r="E46" s="45">
        <f t="shared" si="1"/>
        <v>69.042375000000021</v>
      </c>
      <c r="F46" s="42"/>
      <c r="G46" s="42"/>
      <c r="H46" s="42"/>
      <c r="I46" s="42"/>
      <c r="J46" s="42"/>
    </row>
    <row r="47" spans="1:10">
      <c r="A47" s="234">
        <v>43009</v>
      </c>
      <c r="B47" s="45">
        <f t="shared" si="0"/>
        <v>97.170750000000012</v>
      </c>
      <c r="C47" s="42"/>
      <c r="D47" s="234">
        <v>43374</v>
      </c>
      <c r="E47" s="45">
        <f t="shared" si="1"/>
        <v>66.485250000000022</v>
      </c>
      <c r="F47" s="42"/>
      <c r="G47" s="42"/>
      <c r="H47" s="42"/>
      <c r="I47" s="42"/>
      <c r="J47" s="42"/>
    </row>
    <row r="48" spans="1:10">
      <c r="A48" s="235">
        <v>43040</v>
      </c>
      <c r="B48" s="45">
        <f t="shared" si="0"/>
        <v>94.613625000000013</v>
      </c>
      <c r="C48" s="42"/>
      <c r="D48" s="235">
        <v>43405</v>
      </c>
      <c r="E48" s="45">
        <f t="shared" si="1"/>
        <v>63.928125000000023</v>
      </c>
      <c r="F48" s="42"/>
      <c r="G48" s="42"/>
      <c r="H48" s="42"/>
      <c r="I48" s="42"/>
      <c r="J48" s="42"/>
    </row>
    <row r="49" spans="1:10">
      <c r="A49" s="234">
        <v>43070</v>
      </c>
      <c r="B49" s="198">
        <f t="shared" si="0"/>
        <v>92.056500000000014</v>
      </c>
      <c r="C49" s="42"/>
      <c r="D49" s="234">
        <v>43435</v>
      </c>
      <c r="E49" s="198">
        <f t="shared" si="1"/>
        <v>61.371000000000024</v>
      </c>
      <c r="F49" s="42"/>
      <c r="G49" s="42"/>
      <c r="H49" s="42"/>
      <c r="I49" s="42"/>
      <c r="J49" s="42"/>
    </row>
    <row r="50" spans="1:10">
      <c r="B50" s="26"/>
      <c r="C50" s="26"/>
      <c r="D50" s="26"/>
      <c r="E50" s="26"/>
      <c r="F50" s="26"/>
      <c r="G50" s="26"/>
      <c r="H50" s="26"/>
      <c r="I50" s="26"/>
      <c r="J50" s="26"/>
    </row>
    <row r="51" spans="1:10" ht="13.5" thickBot="1">
      <c r="A51" s="158" t="s">
        <v>383</v>
      </c>
      <c r="B51" s="209">
        <f>SUM(B37:B50)/13</f>
        <v>107.39924999999999</v>
      </c>
      <c r="C51" s="26"/>
      <c r="D51" s="26"/>
      <c r="E51" s="209">
        <f>SUM(E37:E50)/13</f>
        <v>76.713750000000019</v>
      </c>
      <c r="F51" s="26"/>
      <c r="G51" s="26"/>
      <c r="H51" s="26"/>
      <c r="I51" s="26"/>
      <c r="J51" s="26"/>
    </row>
    <row r="52" spans="1:10" ht="13.5" thickTop="1">
      <c r="A52" s="158" t="s">
        <v>384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B54" s="26"/>
      <c r="C54" s="26"/>
      <c r="D54" s="26"/>
      <c r="E54" s="26"/>
      <c r="F54" s="26"/>
      <c r="G54" s="26"/>
      <c r="H54" s="26"/>
      <c r="I54" s="26"/>
      <c r="J54" s="26"/>
    </row>
    <row r="55" spans="1:10">
      <c r="A55" s="167" t="s">
        <v>385</v>
      </c>
      <c r="B55" s="167"/>
      <c r="C55" s="167"/>
      <c r="D55" s="167"/>
      <c r="E55" s="167"/>
      <c r="F55" s="26"/>
      <c r="G55" s="26"/>
      <c r="H55" s="26"/>
      <c r="I55" s="26"/>
      <c r="J55" s="26"/>
    </row>
    <row r="56" spans="1:10">
      <c r="A56" s="167">
        <v>2017</v>
      </c>
      <c r="B56" s="236">
        <f>(22.093+100.649+23.501+112.403)/2</f>
        <v>129.32300000000001</v>
      </c>
      <c r="C56" s="167"/>
      <c r="D56" s="167">
        <v>2018</v>
      </c>
      <c r="E56" s="236">
        <f>(23.501+112.403+24.908+124.157)/2</f>
        <v>142.4845</v>
      </c>
      <c r="F56" s="26"/>
      <c r="G56" s="26"/>
      <c r="H56" s="26"/>
      <c r="I56" s="26"/>
      <c r="J56" s="26"/>
    </row>
    <row r="57" spans="1:10">
      <c r="B57" s="26"/>
      <c r="C57" s="26"/>
      <c r="D57" s="26"/>
      <c r="E57" s="26"/>
      <c r="F57" s="26"/>
      <c r="G57" s="26"/>
      <c r="H57" s="26"/>
      <c r="I57" s="26"/>
      <c r="J57" s="26"/>
    </row>
    <row r="58" spans="1:10">
      <c r="B58" s="26"/>
      <c r="C58" s="26"/>
      <c r="D58" s="26"/>
      <c r="E58" s="26"/>
      <c r="F58" s="26"/>
      <c r="G58" s="26"/>
      <c r="H58" s="26"/>
      <c r="I58" s="26"/>
      <c r="J58" s="26"/>
    </row>
    <row r="59" spans="1:10">
      <c r="B59" s="26"/>
      <c r="C59" s="26"/>
      <c r="D59" s="26"/>
      <c r="E59" s="26"/>
      <c r="F59" s="26"/>
      <c r="G59" s="26"/>
      <c r="H59" s="26"/>
      <c r="I59" s="26"/>
      <c r="J59" s="26"/>
    </row>
    <row r="60" spans="1:10">
      <c r="B60" s="26"/>
      <c r="C60" s="26"/>
      <c r="D60" s="26"/>
      <c r="E60" s="26"/>
      <c r="F60" s="26"/>
      <c r="G60" s="26"/>
      <c r="H60" s="26"/>
      <c r="I60" s="26"/>
      <c r="J60" s="26"/>
    </row>
    <row r="61" spans="1:10">
      <c r="B61" s="26"/>
      <c r="C61" s="26"/>
      <c r="D61" s="26"/>
      <c r="E61" s="26"/>
      <c r="F61" s="26"/>
      <c r="G61" s="26"/>
      <c r="H61" s="26"/>
      <c r="I61" s="26"/>
      <c r="J61" s="26"/>
    </row>
    <row r="62" spans="1:10">
      <c r="B62" s="26"/>
      <c r="C62" s="26"/>
      <c r="D62" s="26"/>
      <c r="E62" s="26"/>
      <c r="F62" s="26"/>
      <c r="G62" s="26"/>
      <c r="H62" s="26"/>
      <c r="I62" s="26"/>
      <c r="J62" s="26"/>
    </row>
    <row r="63" spans="1:10">
      <c r="B63" s="26"/>
      <c r="C63" s="26"/>
      <c r="D63" s="26"/>
      <c r="E63" s="26"/>
      <c r="F63" s="26"/>
      <c r="G63" s="26"/>
      <c r="H63" s="26"/>
      <c r="I63" s="26"/>
      <c r="J63" s="26"/>
    </row>
    <row r="64" spans="1:10">
      <c r="B64" s="26"/>
      <c r="C64" s="26"/>
      <c r="D64" s="26"/>
      <c r="E64" s="26"/>
      <c r="F64" s="26"/>
      <c r="G64" s="26"/>
      <c r="H64" s="26"/>
      <c r="I64" s="26"/>
      <c r="J64" s="26"/>
    </row>
    <row r="65" spans="2:10">
      <c r="B65" s="26"/>
      <c r="C65" s="26"/>
      <c r="D65" s="26"/>
      <c r="E65" s="26"/>
      <c r="F65" s="26"/>
      <c r="G65" s="26"/>
      <c r="H65" s="26"/>
      <c r="I65" s="26"/>
      <c r="J65" s="26"/>
    </row>
    <row r="66" spans="2:10">
      <c r="B66" s="26"/>
      <c r="C66" s="26"/>
      <c r="D66" s="26"/>
      <c r="E66" s="26"/>
      <c r="F66" s="26"/>
      <c r="G66" s="26"/>
      <c r="H66" s="26"/>
      <c r="I66" s="26"/>
      <c r="J66" s="26"/>
    </row>
    <row r="67" spans="2:10">
      <c r="B67" s="26"/>
      <c r="C67" s="26"/>
      <c r="D67" s="26"/>
      <c r="E67" s="26"/>
      <c r="F67" s="26"/>
      <c r="G67" s="26"/>
      <c r="H67" s="26"/>
      <c r="I67" s="26"/>
      <c r="J67" s="26"/>
    </row>
    <row r="68" spans="2:10">
      <c r="B68" s="26"/>
      <c r="C68" s="26"/>
      <c r="D68" s="26"/>
      <c r="E68" s="26"/>
      <c r="F68" s="26"/>
      <c r="G68" s="26"/>
      <c r="H68" s="26"/>
      <c r="I68" s="26"/>
      <c r="J68" s="26"/>
    </row>
    <row r="69" spans="2:10">
      <c r="B69" s="26"/>
      <c r="C69" s="26"/>
      <c r="D69" s="26"/>
      <c r="E69" s="26"/>
      <c r="F69" s="26"/>
      <c r="G69" s="26"/>
      <c r="H69" s="26"/>
      <c r="I69" s="26"/>
      <c r="J69" s="26"/>
    </row>
    <row r="70" spans="2:10">
      <c r="B70" s="26"/>
      <c r="C70" s="26"/>
      <c r="D70" s="26"/>
      <c r="E70" s="26"/>
      <c r="F70" s="26"/>
      <c r="G70" s="26"/>
      <c r="H70" s="26"/>
      <c r="I70" s="26"/>
      <c r="J70" s="26"/>
    </row>
    <row r="71" spans="2:10">
      <c r="B71" s="26"/>
      <c r="C71" s="26"/>
      <c r="D71" s="26"/>
      <c r="E71" s="26"/>
      <c r="F71" s="26"/>
      <c r="G71" s="26"/>
      <c r="H71" s="26"/>
      <c r="I71" s="26"/>
      <c r="J71" s="26"/>
    </row>
    <row r="72" spans="2:10">
      <c r="B72" s="26"/>
      <c r="C72" s="26"/>
      <c r="D72" s="26"/>
      <c r="E72" s="26"/>
      <c r="F72" s="26"/>
      <c r="G72" s="26"/>
      <c r="H72" s="26"/>
      <c r="I72" s="26"/>
      <c r="J72" s="26"/>
    </row>
    <row r="73" spans="2:10">
      <c r="B73" s="26"/>
      <c r="C73" s="26"/>
      <c r="D73" s="26"/>
      <c r="E73" s="26"/>
      <c r="F73" s="26"/>
      <c r="G73" s="26"/>
      <c r="H73" s="26"/>
      <c r="I73" s="26"/>
      <c r="J73" s="26"/>
    </row>
    <row r="74" spans="2:10">
      <c r="B74" s="26"/>
      <c r="C74" s="26"/>
      <c r="D74" s="26"/>
      <c r="E74" s="26"/>
      <c r="F74" s="26"/>
      <c r="G74" s="26"/>
      <c r="H74" s="26"/>
      <c r="I74" s="26"/>
      <c r="J74" s="26"/>
    </row>
    <row r="75" spans="2:10">
      <c r="B75" s="26"/>
      <c r="C75" s="26"/>
      <c r="D75" s="26"/>
      <c r="E75" s="26"/>
      <c r="F75" s="26"/>
      <c r="G75" s="26"/>
      <c r="H75" s="26"/>
      <c r="I75" s="26"/>
      <c r="J75" s="26"/>
    </row>
    <row r="76" spans="2:10"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6">
    <mergeCell ref="A1:J1"/>
    <mergeCell ref="A2:J2"/>
    <mergeCell ref="A4:J4"/>
    <mergeCell ref="A5:J5"/>
    <mergeCell ref="A6:J6"/>
    <mergeCell ref="A3:J3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view="pageLayout" zoomScaleNormal="100" workbookViewId="0">
      <selection activeCell="G9" sqref="G9"/>
    </sheetView>
  </sheetViews>
  <sheetFormatPr defaultRowHeight="12.75"/>
  <cols>
    <col min="1" max="1" width="1.85546875" customWidth="1"/>
    <col min="2" max="2" width="71.7109375" customWidth="1"/>
    <col min="3" max="3" width="6.140625" customWidth="1"/>
    <col min="4" max="4" width="13.42578125" customWidth="1"/>
    <col min="5" max="5" width="4.85546875" customWidth="1"/>
    <col min="7" max="7" width="12" customWidth="1"/>
    <col min="16" max="16" width="9.5703125" bestFit="1" customWidth="1"/>
  </cols>
  <sheetData>
    <row r="1" spans="1:19">
      <c r="A1" s="34" t="s">
        <v>33</v>
      </c>
      <c r="B1" s="9"/>
      <c r="C1" s="9"/>
      <c r="D1" s="9"/>
    </row>
    <row r="2" spans="1:19">
      <c r="A2" s="34" t="s">
        <v>47</v>
      </c>
      <c r="B2" s="9"/>
      <c r="C2" s="9"/>
      <c r="D2" s="9"/>
    </row>
    <row r="3" spans="1:19">
      <c r="A3" s="34" t="s">
        <v>65</v>
      </c>
      <c r="B3" s="9"/>
      <c r="C3" s="9"/>
      <c r="D3" s="9"/>
      <c r="G3" s="56"/>
      <c r="H3" s="56"/>
      <c r="I3" s="56"/>
      <c r="J3" s="56"/>
      <c r="K3" s="56"/>
      <c r="L3" s="56"/>
    </row>
    <row r="4" spans="1:19">
      <c r="A4" s="34" t="s">
        <v>66</v>
      </c>
      <c r="B4" s="9"/>
      <c r="C4" s="9"/>
      <c r="D4" s="9"/>
      <c r="G4" s="56"/>
      <c r="H4" s="29"/>
      <c r="I4" s="29"/>
      <c r="J4" s="29"/>
      <c r="K4" s="29"/>
      <c r="L4" s="29"/>
    </row>
    <row r="5" spans="1:19">
      <c r="A5" s="377" t="s">
        <v>19</v>
      </c>
      <c r="B5" s="377"/>
      <c r="C5" s="377"/>
      <c r="D5" s="377"/>
    </row>
    <row r="6" spans="1:19">
      <c r="A6" s="1"/>
      <c r="B6" s="1"/>
      <c r="C6" s="1"/>
      <c r="D6" s="1"/>
      <c r="F6" s="25" t="s">
        <v>34</v>
      </c>
      <c r="I6" s="189" t="s">
        <v>345</v>
      </c>
    </row>
    <row r="7" spans="1:19">
      <c r="D7" s="11" t="s">
        <v>15</v>
      </c>
      <c r="F7" s="11" t="s">
        <v>35</v>
      </c>
      <c r="I7" s="190" t="s">
        <v>346</v>
      </c>
    </row>
    <row r="8" spans="1:19">
      <c r="D8" s="10"/>
    </row>
    <row r="9" spans="1:19">
      <c r="A9" s="53" t="s">
        <v>48</v>
      </c>
      <c r="B9" s="3"/>
      <c r="C9" s="3"/>
      <c r="D9" s="89">
        <v>866.35400000000004</v>
      </c>
      <c r="F9" s="33">
        <f>1/(1-(0.00072+0.00065))</f>
        <v>1.0013718794748805</v>
      </c>
      <c r="G9" t="s">
        <v>36</v>
      </c>
      <c r="I9" s="56"/>
      <c r="J9" s="56"/>
      <c r="K9" s="56"/>
      <c r="L9" s="56"/>
      <c r="M9" s="29"/>
      <c r="N9" s="29"/>
      <c r="O9" s="29"/>
      <c r="P9" s="29"/>
      <c r="Q9" s="29"/>
      <c r="R9" s="29"/>
      <c r="S9" s="29"/>
    </row>
    <row r="10" spans="1:19">
      <c r="A10" s="53"/>
      <c r="B10" s="3"/>
      <c r="C10" s="3"/>
      <c r="D10" s="27"/>
      <c r="F10" s="33"/>
      <c r="I10" s="56"/>
      <c r="J10" s="56"/>
      <c r="K10" s="56"/>
      <c r="L10" s="56"/>
      <c r="M10" s="29"/>
      <c r="N10" s="29"/>
      <c r="O10" s="29"/>
      <c r="P10" s="29"/>
      <c r="Q10" s="29"/>
      <c r="R10" s="29"/>
      <c r="S10" s="29"/>
    </row>
    <row r="11" spans="1:19">
      <c r="A11" s="3" t="s">
        <v>30</v>
      </c>
      <c r="B11" s="3"/>
      <c r="C11" s="4"/>
      <c r="D11" s="16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>
      <c r="A12" s="3"/>
      <c r="B12" s="158" t="s">
        <v>387</v>
      </c>
      <c r="C12" s="4"/>
      <c r="D12" s="16">
        <f>'Exh. LK-6'!H17*F9</f>
        <v>-4.7228084976417684</v>
      </c>
      <c r="I12" s="226">
        <f>'Exh. LK-6'!H17</f>
        <v>-4.7163382499999997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>
      <c r="A13" s="3"/>
      <c r="B13" s="158" t="s">
        <v>347</v>
      </c>
      <c r="C13" s="4"/>
      <c r="D13" s="226">
        <f>'Exh. LK-8'!H24*F9</f>
        <v>-41.649279408289345</v>
      </c>
      <c r="I13" s="226">
        <f>'Exh. LK-8'!H24</f>
        <v>-41.592219895499994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>
      <c r="B14" s="158" t="s">
        <v>419</v>
      </c>
      <c r="C14" s="4"/>
      <c r="D14" s="13">
        <f>I14*F9</f>
        <v>-195.4117140482461</v>
      </c>
      <c r="F14" s="33" t="s">
        <v>43</v>
      </c>
      <c r="G14" s="29"/>
      <c r="H14" s="29"/>
      <c r="I14" s="88">
        <v>-195.14400000000001</v>
      </c>
      <c r="L14" s="158" t="s">
        <v>420</v>
      </c>
    </row>
    <row r="15" spans="1:19">
      <c r="B15" s="158" t="s">
        <v>463</v>
      </c>
      <c r="C15" s="4"/>
      <c r="D15" s="13">
        <f>I15*F9</f>
        <v>-4.3782672164815768</v>
      </c>
      <c r="F15" s="33"/>
      <c r="G15" s="29"/>
      <c r="H15" s="29"/>
      <c r="I15" s="88">
        <f>'Exh. LK-17'!H21</f>
        <v>-4.3722689903949972</v>
      </c>
    </row>
    <row r="16" spans="1:19">
      <c r="B16" s="158" t="s">
        <v>464</v>
      </c>
      <c r="C16" s="4"/>
      <c r="D16" s="13">
        <f>I16*F9</f>
        <v>-0.96160322960765743</v>
      </c>
      <c r="F16" s="33"/>
      <c r="G16" s="29"/>
      <c r="H16" s="29"/>
      <c r="I16" s="88">
        <f>'Exh. LK-21'!G48</f>
        <v>-0.96028583318309502</v>
      </c>
    </row>
    <row r="17" spans="1:16">
      <c r="B17" s="158" t="s">
        <v>348</v>
      </c>
      <c r="C17" s="4"/>
      <c r="D17" s="13">
        <f>I17*F9</f>
        <v>-22.574193680971277</v>
      </c>
      <c r="F17" s="33"/>
      <c r="G17" s="29"/>
      <c r="H17" s="29"/>
      <c r="I17" s="88">
        <f>'Exh. LK-23'!H33</f>
        <v>-22.543267035628347</v>
      </c>
    </row>
    <row r="18" spans="1:16">
      <c r="B18" s="157" t="s">
        <v>282</v>
      </c>
      <c r="C18" s="4"/>
      <c r="D18" s="13">
        <f>-D36</f>
        <v>3.9738171441638555</v>
      </c>
      <c r="F18" s="33"/>
      <c r="G18" s="29"/>
      <c r="H18" s="29"/>
    </row>
    <row r="19" spans="1:16">
      <c r="B19" s="157" t="s">
        <v>586</v>
      </c>
      <c r="C19" s="4"/>
      <c r="D19" s="13">
        <f>I19*F9</f>
        <v>-1.2329391266034466</v>
      </c>
      <c r="F19" s="33"/>
      <c r="G19" s="29"/>
      <c r="H19" s="29"/>
      <c r="I19" s="88">
        <f>-4.925/4</f>
        <v>-1.23125</v>
      </c>
      <c r="L19" s="158" t="s">
        <v>587</v>
      </c>
    </row>
    <row r="20" spans="1:16">
      <c r="B20" s="157" t="s">
        <v>408</v>
      </c>
      <c r="C20" s="4"/>
      <c r="D20" s="13">
        <f>-('Exh. LK-15'!M28)/1000</f>
        <v>-0.21395660061286775</v>
      </c>
      <c r="F20" s="33"/>
      <c r="G20" s="29"/>
      <c r="H20" s="29"/>
    </row>
    <row r="21" spans="1:16">
      <c r="B21" s="157"/>
      <c r="C21" s="4"/>
      <c r="D21" s="13"/>
      <c r="F21" s="33"/>
      <c r="G21" s="29"/>
      <c r="H21" s="29"/>
      <c r="N21" s="158"/>
    </row>
    <row r="22" spans="1:16">
      <c r="A22" s="3" t="s">
        <v>31</v>
      </c>
      <c r="B22" s="4"/>
      <c r="C22" s="4"/>
      <c r="D22" s="13"/>
      <c r="N22" s="158"/>
      <c r="P22" s="204"/>
    </row>
    <row r="23" spans="1:16">
      <c r="A23" s="3"/>
      <c r="B23" s="4" t="str">
        <f>'Exh. LK-27 - Page 1'!B12</f>
        <v>Remove Nuclear Fuel in Process From Rate Base</v>
      </c>
      <c r="C23" s="4"/>
      <c r="D23" s="13">
        <f>'Exh. LK-27 - Page 1'!D12*'Exh. LK-28'!$J$19</f>
        <v>-40.175939833680168</v>
      </c>
      <c r="J23" s="158" t="s">
        <v>467</v>
      </c>
      <c r="N23" s="158"/>
      <c r="P23" s="204"/>
    </row>
    <row r="24" spans="1:16">
      <c r="A24" s="4"/>
      <c r="B24" s="4" t="str">
        <f>'Exh. LK-27 - Page 1'!B13</f>
        <v>Reduce Accumulated Depreciation to Reflect Depreciation Expense Reduction</v>
      </c>
      <c r="C24" s="4"/>
      <c r="D24" s="13">
        <f>'Exh. LK-27 - Page 1'!D13*'Exh. LK-28'!$J$19</f>
        <v>9.608620945395824</v>
      </c>
      <c r="J24" s="204">
        <f>D14+D24-(D24*0.38575)</f>
        <v>-189.50961863253673</v>
      </c>
    </row>
    <row r="25" spans="1:16">
      <c r="A25" s="4"/>
      <c r="B25" s="4" t="str">
        <f>'Exh. LK-27 - Page 1'!B14</f>
        <v>Reduce Accumulated Fossil Dismantling to Reflect Dismantling Expense Reductions</v>
      </c>
      <c r="C25" s="4"/>
      <c r="D25" s="13">
        <f>'Exh. LK-27 - Page 1'!D14*'Exh. LK-28'!$J$19</f>
        <v>0.26343971645108938</v>
      </c>
    </row>
    <row r="26" spans="1:16">
      <c r="A26" s="4"/>
      <c r="B26" s="4" t="str">
        <f>'Exh. LK-27 - Page 1'!B15</f>
        <v xml:space="preserve">Increase Rate Base to Reflect Extended Amortization of Capital Recovery Costs </v>
      </c>
      <c r="C26" s="4"/>
      <c r="D26" s="13">
        <f>'Exh. LK-27 - Page 1'!D15*'Exh. LK-28'!$J$19</f>
        <v>1.1136860420990948</v>
      </c>
    </row>
    <row r="27" spans="1:16">
      <c r="A27" s="4"/>
      <c r="B27" s="4" t="str">
        <f>'Exh. LK-27 - Page 1'!B16</f>
        <v>Amortize Injuries and Damages Excess Reserve Balance Over 4 Years</v>
      </c>
      <c r="C27" s="4"/>
      <c r="D27" s="13">
        <f>'Exh. LK-27 - Page 1'!D16*'Exh. LK-28'!$J$19</f>
        <v>0.24255615095344377</v>
      </c>
    </row>
    <row r="28" spans="1:16">
      <c r="A28" s="4"/>
      <c r="B28" s="4" t="str">
        <f>'Exh. LK-27 - Page 1'!B17</f>
        <v>Amortize End of Life M&amp;S Inv and Nuclear Last Core Excess Reserve Balance Over 4 Years</v>
      </c>
      <c r="C28" s="4"/>
      <c r="D28" s="13">
        <f>'Exh. LK-27 - Page 1'!D17*'Exh. LK-28'!$J$19</f>
        <v>2.0547922850945879</v>
      </c>
    </row>
    <row r="29" spans="1:16">
      <c r="A29" s="4"/>
      <c r="B29" s="4" t="str">
        <f>'Exh. LK-27 - Page 1'!B18</f>
        <v>Remove Accrued Revenues from Cash Working Capital</v>
      </c>
      <c r="C29" s="4"/>
      <c r="D29" s="13">
        <f>'Exh. LK-27 - Page 1'!D18*'Exh. LK-28'!$J$19</f>
        <v>-22.577774293127945</v>
      </c>
    </row>
    <row r="30" spans="1:16">
      <c r="A30" s="4"/>
      <c r="B30" s="4" t="str">
        <f>'Exh. LK-27 - Page 1'!B19</f>
        <v>Eliminate Unamortized Rate Case Expense</v>
      </c>
      <c r="C30" s="4"/>
      <c r="D30" s="13">
        <f>'Exh. LK-27 - Page 1'!D19*'Exh. LK-28'!$J$19</f>
        <v>-0.42574779847310107</v>
      </c>
    </row>
    <row r="31" spans="1:16">
      <c r="A31" s="4"/>
      <c r="B31" s="4" t="str">
        <f>'Exh. LK-27 - Page 1'!B20</f>
        <v>Correct Company Admitted Error for Balance of Deferred Pension Debit</v>
      </c>
      <c r="C31" s="4"/>
      <c r="D31" s="13">
        <f>'Exh. LK-27 - Page 1'!D20*'Exh. LK-28'!$J$19</f>
        <v>-0.3485816275268277</v>
      </c>
    </row>
    <row r="32" spans="1:16">
      <c r="A32" s="4"/>
      <c r="B32" s="4"/>
      <c r="C32" s="4"/>
      <c r="D32" s="13"/>
    </row>
    <row r="33" spans="1:8">
      <c r="A33" s="3" t="s">
        <v>32</v>
      </c>
      <c r="B33" s="4"/>
      <c r="C33" s="4"/>
      <c r="D33" s="15"/>
    </row>
    <row r="34" spans="1:8">
      <c r="A34" s="8"/>
      <c r="B34" s="8" t="s">
        <v>52</v>
      </c>
      <c r="C34" s="4"/>
      <c r="D34" s="13">
        <f>'Exh. LK-28'!J39</f>
        <v>-4.7423995122258837</v>
      </c>
    </row>
    <row r="35" spans="1:8">
      <c r="A35" s="8"/>
      <c r="B35" s="157" t="s">
        <v>363</v>
      </c>
      <c r="C35" s="4"/>
      <c r="D35" s="13">
        <f>'Exh. LK-28'!J63</f>
        <v>-5.97457774952065</v>
      </c>
    </row>
    <row r="36" spans="1:8">
      <c r="A36" s="8"/>
      <c r="B36" s="157" t="s">
        <v>282</v>
      </c>
      <c r="C36" s="4"/>
      <c r="D36" s="13">
        <f>'Exh. LK-28'!J83</f>
        <v>-3.9738171441638555</v>
      </c>
    </row>
    <row r="37" spans="1:8">
      <c r="A37" s="8"/>
      <c r="B37" s="157" t="s">
        <v>579</v>
      </c>
      <c r="C37" s="4"/>
      <c r="D37" s="13">
        <f>'Exh. LK-28'!J103</f>
        <v>-3.7931890921560236</v>
      </c>
    </row>
    <row r="38" spans="1:8">
      <c r="A38" s="8"/>
      <c r="B38" s="157" t="s">
        <v>599</v>
      </c>
      <c r="C38" s="4"/>
      <c r="D38" s="13">
        <f>'Exh. LK-28'!J123</f>
        <v>-12.986012962143953</v>
      </c>
    </row>
    <row r="39" spans="1:8">
      <c r="A39" s="8"/>
      <c r="B39" s="218" t="s">
        <v>349</v>
      </c>
      <c r="C39" s="4"/>
      <c r="D39" s="13">
        <f>'Exh. LK-28'!J142</f>
        <v>-117.40184151259714</v>
      </c>
    </row>
    <row r="40" spans="1:8">
      <c r="A40" s="8"/>
      <c r="B40" s="8" t="s">
        <v>53</v>
      </c>
      <c r="C40" s="4"/>
      <c r="D40" s="35">
        <f>'Exh. LK-28'!J161</f>
        <v>-469.60736605038949</v>
      </c>
      <c r="F40" t="s">
        <v>63</v>
      </c>
      <c r="H40" s="88">
        <f>D40/(11.5-9)</f>
        <v>-187.84294642015578</v>
      </c>
    </row>
    <row r="41" spans="1:8">
      <c r="A41" s="8"/>
      <c r="B41" s="157" t="s">
        <v>283</v>
      </c>
      <c r="C41" s="4"/>
      <c r="D41" s="35">
        <f>'Exh. LK-28'!J181</f>
        <v>-135.86911222523594</v>
      </c>
      <c r="H41" s="88"/>
    </row>
    <row r="42" spans="1:8">
      <c r="A42" s="8"/>
      <c r="B42" s="157" t="s">
        <v>588</v>
      </c>
      <c r="D42" s="372">
        <v>-7.3040000000000003</v>
      </c>
      <c r="H42" s="88"/>
    </row>
    <row r="43" spans="1:8">
      <c r="A43" s="4"/>
      <c r="B43" s="4"/>
      <c r="C43" s="4"/>
      <c r="D43" s="15"/>
    </row>
    <row r="44" spans="1:8">
      <c r="A44" s="3" t="s">
        <v>44</v>
      </c>
      <c r="B44" s="4"/>
      <c r="C44" s="4"/>
      <c r="D44" s="31">
        <f>SUM(D12:D42)</f>
        <v>-1079.0682093255371</v>
      </c>
    </row>
    <row r="45" spans="1:8">
      <c r="A45" s="4"/>
      <c r="B45" s="4"/>
      <c r="C45" s="4"/>
      <c r="D45" s="15"/>
    </row>
    <row r="46" spans="1:8" ht="13.5" thickBot="1">
      <c r="A46" s="53" t="s">
        <v>46</v>
      </c>
      <c r="B46" s="4"/>
      <c r="C46" s="4"/>
      <c r="D46" s="32">
        <f>D9+D44</f>
        <v>-212.71420932553701</v>
      </c>
    </row>
    <row r="47" spans="1:8" ht="13.5" thickTop="1">
      <c r="A47" s="4"/>
      <c r="B47" s="4"/>
      <c r="C47" s="4"/>
      <c r="D47" s="4"/>
    </row>
    <row r="48" spans="1:8">
      <c r="B48" s="4"/>
      <c r="C48" s="4"/>
      <c r="D48" s="4"/>
    </row>
  </sheetData>
  <mergeCells count="1">
    <mergeCell ref="A5:D5"/>
  </mergeCells>
  <phoneticPr fontId="29" type="noConversion"/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tabSelected="1" view="pageLayout" zoomScaleNormal="100" workbookViewId="0">
      <selection activeCell="G9" sqref="G9"/>
    </sheetView>
  </sheetViews>
  <sheetFormatPr defaultRowHeight="12.75"/>
  <cols>
    <col min="1" max="1" width="1.85546875" customWidth="1"/>
    <col min="2" max="2" width="71.7109375" customWidth="1"/>
    <col min="3" max="3" width="8.85546875" customWidth="1"/>
    <col min="4" max="4" width="13.42578125" customWidth="1"/>
    <col min="5" max="5" width="4.85546875" customWidth="1"/>
    <col min="7" max="7" width="12" customWidth="1"/>
  </cols>
  <sheetData>
    <row r="1" spans="1:19">
      <c r="A1" s="34" t="s">
        <v>33</v>
      </c>
      <c r="B1" s="9"/>
      <c r="C1" s="9"/>
      <c r="D1" s="9"/>
    </row>
    <row r="2" spans="1:19">
      <c r="A2" s="34" t="s">
        <v>47</v>
      </c>
      <c r="B2" s="9"/>
      <c r="C2" s="9"/>
      <c r="D2" s="9"/>
    </row>
    <row r="3" spans="1:19">
      <c r="A3" s="34" t="s">
        <v>65</v>
      </c>
      <c r="B3" s="9"/>
      <c r="C3" s="9"/>
      <c r="D3" s="9"/>
      <c r="G3" s="56"/>
      <c r="H3" s="56"/>
      <c r="I3" s="56"/>
      <c r="J3" s="56"/>
      <c r="K3" s="56"/>
      <c r="L3" s="56"/>
    </row>
    <row r="4" spans="1:19">
      <c r="A4" s="34" t="s">
        <v>67</v>
      </c>
      <c r="B4" s="9"/>
      <c r="C4" s="9"/>
      <c r="D4" s="9"/>
      <c r="G4" s="56"/>
      <c r="H4" s="29"/>
      <c r="I4" s="29"/>
      <c r="J4" s="29"/>
      <c r="K4" s="29"/>
      <c r="L4" s="29"/>
    </row>
    <row r="5" spans="1:19">
      <c r="A5" s="377" t="s">
        <v>19</v>
      </c>
      <c r="B5" s="377"/>
      <c r="C5" s="377"/>
      <c r="D5" s="377"/>
    </row>
    <row r="6" spans="1:19">
      <c r="A6" s="1"/>
      <c r="B6" s="1"/>
      <c r="C6" s="1"/>
      <c r="D6" s="1"/>
      <c r="F6" s="25" t="s">
        <v>34</v>
      </c>
      <c r="I6" s="189" t="s">
        <v>345</v>
      </c>
    </row>
    <row r="7" spans="1:19">
      <c r="D7" s="11" t="s">
        <v>15</v>
      </c>
      <c r="F7" s="11" t="s">
        <v>35</v>
      </c>
      <c r="I7" s="190" t="s">
        <v>346</v>
      </c>
    </row>
    <row r="8" spans="1:19">
      <c r="D8" s="10"/>
    </row>
    <row r="9" spans="1:19">
      <c r="A9" s="53" t="s">
        <v>321</v>
      </c>
      <c r="B9" s="3"/>
      <c r="C9" s="3"/>
      <c r="D9" s="27">
        <v>1133.5930000000001</v>
      </c>
      <c r="F9" s="33">
        <f>1/(1-(0.00072+0.00065))</f>
        <v>1.0013718794748805</v>
      </c>
      <c r="G9" t="s">
        <v>36</v>
      </c>
      <c r="I9" s="56"/>
      <c r="J9" s="56"/>
      <c r="K9" s="56"/>
      <c r="L9" s="56"/>
      <c r="M9" s="29"/>
      <c r="N9" s="29"/>
      <c r="O9" s="29"/>
      <c r="P9" s="29"/>
      <c r="Q9" s="29"/>
      <c r="R9" s="29"/>
      <c r="S9" s="29"/>
    </row>
    <row r="10" spans="1:19">
      <c r="A10" s="53"/>
      <c r="B10" s="3"/>
      <c r="C10" s="3"/>
      <c r="D10" s="27"/>
      <c r="F10" s="33"/>
      <c r="I10" s="56"/>
      <c r="J10" s="56"/>
      <c r="K10" s="56"/>
      <c r="L10" s="56"/>
      <c r="M10" s="29"/>
      <c r="N10" s="29"/>
      <c r="O10" s="29"/>
      <c r="P10" s="29"/>
      <c r="Q10" s="29"/>
      <c r="R10" s="29"/>
      <c r="S10" s="29"/>
    </row>
    <row r="11" spans="1:19">
      <c r="A11" s="3" t="s">
        <v>30</v>
      </c>
      <c r="B11" s="3"/>
      <c r="C11" s="4"/>
      <c r="D11" s="16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>
      <c r="A12" s="3"/>
      <c r="B12" s="158" t="s">
        <v>370</v>
      </c>
      <c r="C12" s="4"/>
      <c r="D12" s="13">
        <f>-1.296*F9</f>
        <v>-1.2977779557994451</v>
      </c>
      <c r="I12" s="226">
        <f>-1.296</f>
        <v>-1.296</v>
      </c>
      <c r="J12" s="29"/>
      <c r="K12" s="152" t="s">
        <v>371</v>
      </c>
      <c r="L12" s="29"/>
      <c r="M12" s="29"/>
      <c r="N12" s="29"/>
      <c r="O12" s="29"/>
      <c r="P12" s="29"/>
      <c r="Q12" s="29"/>
      <c r="R12" s="29"/>
      <c r="S12" s="29"/>
    </row>
    <row r="13" spans="1:19">
      <c r="A13" s="3"/>
      <c r="B13" s="158" t="s">
        <v>387</v>
      </c>
      <c r="C13" s="4"/>
      <c r="D13" s="226">
        <f>'Exh. LK-6'!J17*F9</f>
        <v>-4.7264697635760982</v>
      </c>
      <c r="I13" s="226">
        <f>'Exh. LK-6'!J17</f>
        <v>-4.7199944999999994</v>
      </c>
      <c r="J13" s="29"/>
      <c r="K13" s="152"/>
      <c r="L13" s="29"/>
      <c r="M13" s="29"/>
      <c r="N13" s="29"/>
      <c r="O13" s="29"/>
      <c r="P13" s="29"/>
      <c r="Q13" s="29"/>
      <c r="R13" s="29"/>
      <c r="S13" s="29"/>
    </row>
    <row r="14" spans="1:19">
      <c r="A14" s="3"/>
      <c r="B14" s="158" t="s">
        <v>347</v>
      </c>
      <c r="C14" s="4"/>
      <c r="D14" s="13">
        <f>'Exh. LK-8'!J24*F9</f>
        <v>-41.652440687241516</v>
      </c>
      <c r="I14" s="13">
        <f>'Exh. LK-8'!J24</f>
        <v>-41.595376843499999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>
      <c r="B15" s="158" t="s">
        <v>419</v>
      </c>
      <c r="C15" s="4"/>
      <c r="D15" s="13">
        <f>I15*F9</f>
        <v>-198.54801077476142</v>
      </c>
      <c r="F15" s="33" t="s">
        <v>43</v>
      </c>
      <c r="G15" s="29"/>
      <c r="H15" s="29"/>
      <c r="I15" s="88">
        <f>-198.276</f>
        <v>-198.27600000000001</v>
      </c>
      <c r="K15" s="158" t="s">
        <v>420</v>
      </c>
    </row>
    <row r="16" spans="1:19">
      <c r="B16" s="158" t="s">
        <v>463</v>
      </c>
      <c r="C16" s="4"/>
      <c r="D16" s="13">
        <f>I16*F9</f>
        <v>-4.3814406248333517</v>
      </c>
      <c r="F16" s="33"/>
      <c r="G16" s="29"/>
      <c r="H16" s="29"/>
      <c r="I16" s="13">
        <f>'Exh. LK-17'!J21</f>
        <v>-4.3754380511773308</v>
      </c>
    </row>
    <row r="17" spans="1:16">
      <c r="B17" s="158" t="s">
        <v>464</v>
      </c>
      <c r="C17" s="4"/>
      <c r="D17" s="13">
        <f>I17*F9</f>
        <v>-0.96230020847373576</v>
      </c>
      <c r="F17" s="33"/>
      <c r="G17" s="29"/>
      <c r="H17" s="29"/>
      <c r="I17" s="88">
        <f>'Exh. LK-21'!I48</f>
        <v>-0.96098185718812679</v>
      </c>
    </row>
    <row r="18" spans="1:16">
      <c r="B18" s="158" t="s">
        <v>348</v>
      </c>
      <c r="C18" s="4"/>
      <c r="D18" s="13">
        <f>I18*F9</f>
        <v>-22.591732663583105</v>
      </c>
      <c r="F18" s="33"/>
      <c r="G18" s="29"/>
      <c r="H18" s="29"/>
      <c r="I18" s="88">
        <f>'Exh. LK-23'!J33</f>
        <v>-22.560781989833998</v>
      </c>
    </row>
    <row r="19" spans="1:16">
      <c r="B19" s="157" t="s">
        <v>282</v>
      </c>
      <c r="C19" s="4"/>
      <c r="D19" s="13">
        <f>-D37</f>
        <v>4.7351890789973297</v>
      </c>
      <c r="F19" s="33"/>
      <c r="G19" s="29"/>
      <c r="H19" s="29"/>
    </row>
    <row r="20" spans="1:16">
      <c r="B20" s="157" t="s">
        <v>586</v>
      </c>
      <c r="C20" s="4"/>
      <c r="D20" s="13">
        <f>I20*F9</f>
        <v>-1.2329391266034466</v>
      </c>
      <c r="F20" s="33"/>
      <c r="G20" s="29"/>
      <c r="H20" s="29"/>
      <c r="I20" s="88">
        <f>-4.925/4</f>
        <v>-1.23125</v>
      </c>
      <c r="K20" s="158" t="s">
        <v>587</v>
      </c>
      <c r="L20" s="158"/>
    </row>
    <row r="21" spans="1:16">
      <c r="B21" s="157" t="s">
        <v>408</v>
      </c>
      <c r="C21" s="4"/>
      <c r="D21" s="13">
        <f>-('Exh. LK-15'!M40)/1000</f>
        <v>-0.46882448663861626</v>
      </c>
      <c r="F21" s="33"/>
      <c r="G21" s="29"/>
      <c r="H21" s="29"/>
    </row>
    <row r="22" spans="1:16">
      <c r="B22" s="157"/>
      <c r="C22" s="4"/>
      <c r="D22" s="13"/>
      <c r="F22" s="33"/>
      <c r="G22" s="29"/>
      <c r="H22" s="29"/>
    </row>
    <row r="23" spans="1:16">
      <c r="A23" s="3" t="s">
        <v>31</v>
      </c>
      <c r="B23" s="4"/>
      <c r="C23" s="4"/>
      <c r="D23" s="13"/>
      <c r="F23" s="33"/>
      <c r="G23" s="29"/>
      <c r="H23" s="29"/>
      <c r="N23" s="212"/>
      <c r="O23" s="26"/>
      <c r="P23" s="26"/>
    </row>
    <row r="24" spans="1:16">
      <c r="A24" s="4"/>
      <c r="B24" s="4" t="str">
        <f>'Exh. LK-27 - Page 2'!B12</f>
        <v>Remove Nuclear Fuel in Process From Rate Base</v>
      </c>
      <c r="C24" s="4"/>
      <c r="D24" s="13">
        <f>'Exh. LK-27 - Page 2'!D12*'Exh. LK-29'!$J$19</f>
        <v>-41.125097145046205</v>
      </c>
      <c r="F24" s="33"/>
      <c r="G24" s="29"/>
      <c r="H24" s="29"/>
      <c r="K24" s="158" t="s">
        <v>467</v>
      </c>
      <c r="N24" s="212"/>
      <c r="O24" s="26"/>
      <c r="P24" s="215"/>
    </row>
    <row r="25" spans="1:16">
      <c r="A25" s="4"/>
      <c r="B25" s="4" t="str">
        <f>'Exh. LK-27 - Page 2'!B13</f>
        <v>Reduce Accumulated Depreciation to Reflect Depreciation Expense Reduction</v>
      </c>
      <c r="C25" s="4"/>
      <c r="D25" s="13">
        <f>'Exh. LK-27 - Page 2'!D13*'Exh. LK-29'!$J$19</f>
        <v>29.360913188417022</v>
      </c>
      <c r="F25" s="33"/>
      <c r="G25" s="29"/>
      <c r="H25" s="29"/>
      <c r="K25" s="204">
        <f>D15+D25-(D25*0.38575)</f>
        <v>-180.51306984877627</v>
      </c>
      <c r="N25" s="26"/>
      <c r="O25" s="26"/>
      <c r="P25" s="26"/>
    </row>
    <row r="26" spans="1:16">
      <c r="A26" s="4"/>
      <c r="B26" s="4" t="str">
        <f>'Exh. LK-27 - Page 2'!B14</f>
        <v>Reduce Accumulated Fossil Dismantling to Refect Dismantling Expense Reduction</v>
      </c>
      <c r="C26" s="4"/>
      <c r="D26" s="13">
        <f>'Exh. LK-27 - Page 2'!D14*'Exh. LK-29'!$J$19</f>
        <v>0.79835563951026722</v>
      </c>
      <c r="F26" s="33"/>
      <c r="G26" s="29"/>
      <c r="H26" s="29"/>
      <c r="K26" s="274"/>
    </row>
    <row r="27" spans="1:16">
      <c r="A27" s="4"/>
      <c r="B27" s="4" t="str">
        <f>'Exh. LK-27 - Page 2'!B15</f>
        <v xml:space="preserve">Increase Rate Base to Reflect Extended Amortization of Capital Recovery Costs </v>
      </c>
      <c r="C27" s="4"/>
      <c r="D27" s="13">
        <f>'Exh. LK-27 - Page 2'!D15*'Exh. LK-29'!$J$19</f>
        <v>3.3750908678895128</v>
      </c>
      <c r="F27" s="33"/>
      <c r="G27" s="29"/>
      <c r="H27" s="29"/>
    </row>
    <row r="28" spans="1:16">
      <c r="A28" s="4"/>
      <c r="B28" s="4" t="str">
        <f>'Exh. LK-27 - Page 2'!B16</f>
        <v>Amortize Injuries and Damages Excess Reserve Balance Over 4 Years</v>
      </c>
      <c r="C28" s="4"/>
      <c r="D28" s="13">
        <f>'Exh. LK-27 - Page 2'!D16*'Exh. LK-29'!$J$19</f>
        <v>0.70647638048429073</v>
      </c>
      <c r="F28" s="33"/>
      <c r="G28" s="29"/>
      <c r="H28" s="29"/>
    </row>
    <row r="29" spans="1:16">
      <c r="A29" s="4"/>
      <c r="B29" s="4" t="str">
        <f>'Exh. LK-27 - Page 2'!B17</f>
        <v>Amortize End of Life M&amp;S Inv and Nuclear Last Core Excess Reserve Balance Over 4 Years</v>
      </c>
      <c r="C29" s="4"/>
      <c r="D29" s="13">
        <f>'Exh. LK-27 - Page 2'!D17*'Exh. LK-29'!$J$19</f>
        <v>6.2259814244967968</v>
      </c>
      <c r="F29" s="33"/>
      <c r="G29" s="29"/>
      <c r="H29" s="29"/>
    </row>
    <row r="30" spans="1:16">
      <c r="A30" s="4"/>
      <c r="B30" s="4" t="str">
        <f>'Exh. LK-27 - Page 2'!B18</f>
        <v>Remove Accrued Revenues from Cash Working Capital</v>
      </c>
      <c r="C30" s="4"/>
      <c r="D30" s="13">
        <f>'Exh. LK-27 - Page 2'!D18*'Exh. LK-29'!$J$19</f>
        <v>-22.930074721257633</v>
      </c>
      <c r="F30" s="33"/>
      <c r="G30" s="29"/>
      <c r="H30" s="29"/>
    </row>
    <row r="31" spans="1:16">
      <c r="A31" s="4"/>
      <c r="B31" s="4" t="str">
        <f>'Exh. LK-27 - Page 2'!B19</f>
        <v>Eliminate Unamortized Rate Case Expense</v>
      </c>
      <c r="C31" s="4"/>
      <c r="D31" s="13">
        <f>'Exh. LK-27 - Page 2'!D19*'Exh. LK-29'!$J$19</f>
        <v>-0.30713797076538218</v>
      </c>
      <c r="F31" s="33"/>
      <c r="G31" s="29"/>
      <c r="H31" s="29"/>
    </row>
    <row r="32" spans="1:16">
      <c r="A32" s="4"/>
      <c r="B32" s="4" t="str">
        <f>'Exh. LK-27 - Page 2'!B20</f>
        <v>Correct Company Admitted Error for Balance of Deferred Pension Debit</v>
      </c>
      <c r="C32" s="4"/>
      <c r="D32" s="13">
        <f>'Exh. LK-27 - Page 2'!D20*'Exh. LK-29'!$J$19</f>
        <v>-0.85814490362014029</v>
      </c>
      <c r="F32" s="33"/>
      <c r="G32" s="29"/>
      <c r="H32" s="29"/>
    </row>
    <row r="33" spans="1:8">
      <c r="A33" s="4"/>
      <c r="B33" s="4"/>
      <c r="C33" s="4"/>
      <c r="D33" s="13"/>
    </row>
    <row r="34" spans="1:8">
      <c r="A34" s="3" t="s">
        <v>32</v>
      </c>
      <c r="B34" s="4"/>
      <c r="C34" s="4"/>
      <c r="D34" s="15"/>
    </row>
    <row r="35" spans="1:8">
      <c r="A35" s="8"/>
      <c r="B35" s="8" t="s">
        <v>52</v>
      </c>
      <c r="C35" s="4"/>
      <c r="D35" s="13">
        <f>'Exh. LK-29'!J39</f>
        <v>-14.982325988170977</v>
      </c>
    </row>
    <row r="36" spans="1:8">
      <c r="A36" s="8"/>
      <c r="B36" s="157" t="s">
        <v>363</v>
      </c>
      <c r="C36" s="4"/>
      <c r="D36" s="13">
        <f>'Exh. LK-29'!J63</f>
        <v>-4.886568143175043</v>
      </c>
    </row>
    <row r="37" spans="1:8">
      <c r="A37" s="8"/>
      <c r="B37" s="157" t="s">
        <v>282</v>
      </c>
      <c r="C37" s="4"/>
      <c r="D37" s="13">
        <f>'Exh. LK-29'!J84</f>
        <v>-4.7351890789973297</v>
      </c>
    </row>
    <row r="38" spans="1:8">
      <c r="A38" s="8"/>
      <c r="B38" s="157" t="s">
        <v>579</v>
      </c>
      <c r="C38" s="4"/>
      <c r="D38" s="13">
        <f>'Exh. LK-29'!J104</f>
        <v>-2.0021269260189523</v>
      </c>
    </row>
    <row r="39" spans="1:8">
      <c r="A39" s="8"/>
      <c r="B39" s="157" t="s">
        <v>599</v>
      </c>
      <c r="C39" s="4"/>
      <c r="D39" s="13">
        <f>'Exh. LK-29'!J123</f>
        <v>-35.680009111494741</v>
      </c>
    </row>
    <row r="40" spans="1:8">
      <c r="A40" s="8"/>
      <c r="B40" s="218" t="s">
        <v>349</v>
      </c>
      <c r="C40" s="4"/>
      <c r="D40" s="13">
        <f>'Exh. LK-29'!J142</f>
        <v>-122.94140774893378</v>
      </c>
    </row>
    <row r="41" spans="1:8">
      <c r="A41" s="8"/>
      <c r="B41" s="8" t="s">
        <v>53</v>
      </c>
      <c r="C41" s="4"/>
      <c r="D41" s="35">
        <f>'Exh. LK-29'!J161</f>
        <v>-491.76563099573559</v>
      </c>
      <c r="F41" t="s">
        <v>63</v>
      </c>
      <c r="H41" s="88">
        <f>D41/(11.5-9)</f>
        <v>-196.70625239829423</v>
      </c>
    </row>
    <row r="42" spans="1:8">
      <c r="A42" s="8"/>
      <c r="B42" s="157" t="s">
        <v>283</v>
      </c>
      <c r="C42" s="4"/>
      <c r="D42" s="35">
        <f>'Exh. LK-29'!J181</f>
        <v>-156.46960883160548</v>
      </c>
      <c r="H42" s="88"/>
    </row>
    <row r="43" spans="1:8">
      <c r="A43" s="8"/>
      <c r="B43" s="157" t="s">
        <v>588</v>
      </c>
      <c r="D43" s="371">
        <v>-5.7220000000000004</v>
      </c>
      <c r="H43" s="88"/>
    </row>
    <row r="44" spans="1:8">
      <c r="A44" s="4"/>
      <c r="B44" s="4"/>
      <c r="C44" s="4"/>
      <c r="D44" s="15"/>
    </row>
    <row r="45" spans="1:8">
      <c r="A45" s="3" t="s">
        <v>44</v>
      </c>
      <c r="B45" s="4"/>
      <c r="C45" s="4"/>
      <c r="D45" s="31">
        <f>SUM(D11:D43)</f>
        <v>-1135.0652512765369</v>
      </c>
    </row>
    <row r="46" spans="1:8">
      <c r="A46" s="4"/>
      <c r="B46" s="4"/>
      <c r="C46" s="4"/>
      <c r="D46" s="15"/>
    </row>
    <row r="47" spans="1:8" ht="13.5" thickBot="1">
      <c r="A47" s="53" t="s">
        <v>323</v>
      </c>
      <c r="B47" s="4"/>
      <c r="C47" s="4"/>
      <c r="D47" s="32">
        <f>D9+D45</f>
        <v>-1.472251276536781</v>
      </c>
    </row>
    <row r="48" spans="1:8" ht="13.5" thickTop="1">
      <c r="A48" s="53"/>
      <c r="B48" s="4"/>
      <c r="C48" s="4"/>
      <c r="D48" s="210"/>
    </row>
    <row r="49" spans="1:4">
      <c r="A49" s="4"/>
      <c r="B49" s="4"/>
      <c r="C49" s="4"/>
      <c r="D49" s="4"/>
    </row>
    <row r="50" spans="1:4">
      <c r="A50" s="53" t="s">
        <v>322</v>
      </c>
      <c r="B50" s="4"/>
      <c r="C50" s="4"/>
      <c r="D50" s="211">
        <f>'Revenue Requirement-12.31.2017'!D46</f>
        <v>-212.71420932553701</v>
      </c>
    </row>
    <row r="51" spans="1:4">
      <c r="A51" s="53"/>
      <c r="B51" s="4"/>
      <c r="C51" s="4"/>
      <c r="D51" s="370"/>
    </row>
    <row r="52" spans="1:4" ht="13.5" thickBot="1">
      <c r="A52" s="53" t="s">
        <v>71</v>
      </c>
      <c r="D52" s="90">
        <f>D47-D50</f>
        <v>211.24195804900023</v>
      </c>
    </row>
    <row r="53" spans="1:4" ht="13.5" thickTop="1"/>
  </sheetData>
  <mergeCells count="1">
    <mergeCell ref="A5:D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view="pageLayout" zoomScaleNormal="100" workbookViewId="0">
      <selection activeCell="G9" sqref="G9"/>
    </sheetView>
  </sheetViews>
  <sheetFormatPr defaultRowHeight="12.75"/>
  <cols>
    <col min="1" max="1" width="1.85546875" customWidth="1"/>
    <col min="2" max="2" width="71.7109375" customWidth="1"/>
    <col min="3" max="3" width="7.7109375" customWidth="1"/>
    <col min="4" max="4" width="13.42578125" customWidth="1"/>
    <col min="5" max="5" width="4.85546875" customWidth="1"/>
    <col min="7" max="7" width="12" customWidth="1"/>
  </cols>
  <sheetData>
    <row r="1" spans="1:10">
      <c r="A1" s="34" t="s">
        <v>33</v>
      </c>
      <c r="B1" s="9"/>
      <c r="C1" s="9"/>
      <c r="D1" s="9"/>
    </row>
    <row r="2" spans="1:10">
      <c r="A2" s="34" t="s">
        <v>68</v>
      </c>
      <c r="B2" s="9"/>
      <c r="C2" s="9"/>
      <c r="D2" s="9"/>
    </row>
    <row r="3" spans="1:10">
      <c r="A3" s="34" t="s">
        <v>65</v>
      </c>
      <c r="B3" s="9"/>
      <c r="C3" s="9"/>
      <c r="D3" s="9"/>
      <c r="G3" s="56"/>
      <c r="H3" s="56"/>
    </row>
    <row r="4" spans="1:10">
      <c r="A4" s="34" t="s">
        <v>69</v>
      </c>
      <c r="B4" s="9"/>
      <c r="C4" s="9"/>
      <c r="D4" s="9"/>
      <c r="G4" s="56"/>
      <c r="H4" s="29"/>
    </row>
    <row r="5" spans="1:10">
      <c r="A5" s="377" t="s">
        <v>19</v>
      </c>
      <c r="B5" s="377"/>
      <c r="C5" s="377"/>
      <c r="D5" s="377"/>
    </row>
    <row r="6" spans="1:10">
      <c r="A6" s="1"/>
      <c r="B6" s="1"/>
      <c r="C6" s="1"/>
      <c r="D6" s="1"/>
      <c r="F6" s="25" t="s">
        <v>34</v>
      </c>
      <c r="J6" s="189" t="s">
        <v>345</v>
      </c>
    </row>
    <row r="7" spans="1:10">
      <c r="D7" s="11" t="s">
        <v>15</v>
      </c>
      <c r="F7" s="11" t="s">
        <v>35</v>
      </c>
      <c r="J7" s="190" t="s">
        <v>346</v>
      </c>
    </row>
    <row r="8" spans="1:10">
      <c r="D8" s="10"/>
    </row>
    <row r="9" spans="1:10">
      <c r="A9" s="53" t="s">
        <v>325</v>
      </c>
      <c r="B9" s="3"/>
      <c r="C9" s="3"/>
      <c r="D9" s="27">
        <v>209.024</v>
      </c>
      <c r="F9" s="33">
        <f>1/(1-(0.00072+0.00065))</f>
        <v>1.0013718794748805</v>
      </c>
      <c r="G9" t="s">
        <v>36</v>
      </c>
    </row>
    <row r="10" spans="1:10">
      <c r="A10" s="4"/>
      <c r="B10" s="4"/>
      <c r="C10" s="4"/>
      <c r="D10" s="15"/>
    </row>
    <row r="11" spans="1:10">
      <c r="A11" s="3" t="s">
        <v>30</v>
      </c>
      <c r="B11" s="4"/>
      <c r="C11" s="4"/>
      <c r="D11" s="15"/>
    </row>
    <row r="12" spans="1:10">
      <c r="A12" s="4"/>
      <c r="B12" s="158" t="s">
        <v>356</v>
      </c>
      <c r="C12" s="4"/>
      <c r="D12" s="13">
        <f>'Exh. LK-34'!L14*F9</f>
        <v>-11.990777364990029</v>
      </c>
      <c r="J12" s="13">
        <f>'Exh. LK-34'!L14</f>
        <v>-11.974349999999994</v>
      </c>
    </row>
    <row r="13" spans="1:10">
      <c r="A13" s="4"/>
      <c r="B13" s="4"/>
      <c r="C13" s="4"/>
      <c r="D13" s="13"/>
    </row>
    <row r="14" spans="1:10">
      <c r="A14" s="3" t="s">
        <v>31</v>
      </c>
      <c r="B14" s="4"/>
      <c r="C14" s="4"/>
      <c r="D14" s="13"/>
    </row>
    <row r="15" spans="1:10">
      <c r="A15" s="3"/>
      <c r="B15" s="4" t="str">
        <f>+'Exh. LK-35'!B12</f>
        <v>Reflect Additional ADIT - Bonus Depreciation</v>
      </c>
      <c r="C15" s="4"/>
      <c r="D15" s="13">
        <f>+'Exh. LK-35'!D12*'Exh. LK-30'!H16</f>
        <v>-9.4689367401622562</v>
      </c>
    </row>
    <row r="16" spans="1:10">
      <c r="A16" s="4"/>
      <c r="B16" s="4" t="str">
        <f>+'Exh. LK-35'!B13</f>
        <v>Reflect Accum Depr and ADIT Effects of Depreciation Expense Reduction</v>
      </c>
      <c r="C16" s="4"/>
      <c r="D16" s="13">
        <f>+'Exh. LK-35'!D13*'Exh. LK-30'!H16</f>
        <v>-0.48742391656021961</v>
      </c>
    </row>
    <row r="17" spans="1:8">
      <c r="A17" s="4"/>
      <c r="B17" s="4"/>
      <c r="C17" s="4"/>
      <c r="D17" s="13"/>
    </row>
    <row r="18" spans="1:8">
      <c r="A18" s="3" t="s">
        <v>32</v>
      </c>
      <c r="B18" s="4"/>
      <c r="C18" s="4"/>
      <c r="D18" s="15"/>
    </row>
    <row r="19" spans="1:8">
      <c r="A19" s="3"/>
      <c r="B19" s="157" t="s">
        <v>599</v>
      </c>
      <c r="C19" s="4"/>
      <c r="D19" s="13">
        <f>'Exh. LK-30'!H34</f>
        <v>-1.3325805892149898</v>
      </c>
    </row>
    <row r="20" spans="1:8">
      <c r="A20" s="3"/>
      <c r="B20" s="218" t="s">
        <v>349</v>
      </c>
      <c r="C20" s="4"/>
      <c r="D20" s="13">
        <f>'Exh. LK-30'!H50</f>
        <v>-4.8645999964095772</v>
      </c>
    </row>
    <row r="21" spans="1:8">
      <c r="A21" s="8"/>
      <c r="B21" s="8" t="s">
        <v>53</v>
      </c>
      <c r="C21" s="4"/>
      <c r="D21" s="13">
        <f>'Exh. LK-30'!H72</f>
        <v>-19.458399985638298</v>
      </c>
      <c r="F21" t="s">
        <v>63</v>
      </c>
      <c r="H21" s="88">
        <f>D21/(11-9)</f>
        <v>-9.729199992819149</v>
      </c>
    </row>
    <row r="22" spans="1:8">
      <c r="A22" s="8"/>
      <c r="B22" s="157" t="s">
        <v>578</v>
      </c>
      <c r="C22" s="4"/>
      <c r="D22" s="35">
        <f>'Exh. LK-30'!H91</f>
        <v>-7.3655819528778563</v>
      </c>
      <c r="H22" s="88"/>
    </row>
    <row r="23" spans="1:8">
      <c r="A23" s="8"/>
      <c r="B23" s="157" t="s">
        <v>588</v>
      </c>
      <c r="D23">
        <v>6.4999999999999997E-3</v>
      </c>
    </row>
    <row r="24" spans="1:8">
      <c r="A24" s="4"/>
      <c r="B24" s="4"/>
      <c r="C24" s="4"/>
      <c r="D24" s="15"/>
    </row>
    <row r="25" spans="1:8">
      <c r="A25" s="3" t="s">
        <v>44</v>
      </c>
      <c r="B25" s="4"/>
      <c r="C25" s="4"/>
      <c r="D25" s="31">
        <f>SUM(D13:D23)</f>
        <v>-42.971023180863192</v>
      </c>
    </row>
    <row r="26" spans="1:8">
      <c r="A26" s="4"/>
      <c r="B26" s="4"/>
      <c r="C26" s="4"/>
      <c r="D26" s="15"/>
    </row>
    <row r="27" spans="1:8" ht="13.5" thickBot="1">
      <c r="A27" s="53" t="s">
        <v>49</v>
      </c>
      <c r="B27" s="4"/>
      <c r="C27" s="4"/>
      <c r="D27" s="32">
        <f>D9+D25</f>
        <v>166.0529768191368</v>
      </c>
    </row>
    <row r="28" spans="1:8" ht="13.5" thickTop="1">
      <c r="A28" s="4"/>
      <c r="B28" s="4"/>
      <c r="C28" s="4"/>
      <c r="D28" s="4"/>
    </row>
    <row r="29" spans="1:8">
      <c r="B29" s="4"/>
      <c r="C29" s="4"/>
      <c r="D29" s="4"/>
    </row>
    <row r="36" spans="4:4">
      <c r="D36" s="274"/>
    </row>
  </sheetData>
  <mergeCells count="1">
    <mergeCell ref="A5:D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81"/>
  <sheetViews>
    <sheetView showGridLines="0" showZeros="0" tabSelected="1" view="pageLayout" topLeftCell="D1" zoomScaleNormal="100" workbookViewId="0">
      <selection activeCell="G9" sqref="G9"/>
    </sheetView>
  </sheetViews>
  <sheetFormatPr defaultRowHeight="15"/>
  <cols>
    <col min="1" max="1" width="5.42578125" style="106" customWidth="1"/>
    <col min="2" max="2" width="39.85546875" style="106" customWidth="1"/>
    <col min="3" max="14" width="11.7109375" style="106" customWidth="1"/>
    <col min="15" max="15" width="9.140625" style="106"/>
    <col min="16" max="16" width="10.5703125" style="106" bestFit="1" customWidth="1"/>
    <col min="17" max="16384" width="9.140625" style="106"/>
  </cols>
  <sheetData>
    <row r="1" spans="1:18" ht="15.75" thickBo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8">
      <c r="A2" s="107" t="s">
        <v>81</v>
      </c>
      <c r="E2" s="107" t="s">
        <v>82</v>
      </c>
      <c r="K2" s="107" t="s">
        <v>83</v>
      </c>
    </row>
    <row r="3" spans="1:18">
      <c r="F3" s="107" t="s">
        <v>84</v>
      </c>
      <c r="K3" s="107" t="s">
        <v>275</v>
      </c>
    </row>
    <row r="4" spans="1:18">
      <c r="A4" s="107" t="s">
        <v>86</v>
      </c>
      <c r="F4" s="107" t="s">
        <v>87</v>
      </c>
      <c r="K4" s="107" t="s">
        <v>276</v>
      </c>
    </row>
    <row r="5" spans="1:18">
      <c r="B5" s="107" t="s">
        <v>89</v>
      </c>
      <c r="F5" s="107" t="s">
        <v>90</v>
      </c>
      <c r="K5" s="107" t="s">
        <v>277</v>
      </c>
    </row>
    <row r="6" spans="1:18">
      <c r="K6" s="107"/>
    </row>
    <row r="7" spans="1:18">
      <c r="A7" s="107" t="s">
        <v>93</v>
      </c>
      <c r="G7" s="107" t="s">
        <v>94</v>
      </c>
      <c r="K7" s="107" t="s">
        <v>95</v>
      </c>
    </row>
    <row r="8" spans="1:18" ht="15.75" thickBo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8">
      <c r="B9" s="108" t="s">
        <v>37</v>
      </c>
      <c r="C9" s="108" t="s">
        <v>96</v>
      </c>
      <c r="D9" s="108" t="s">
        <v>97</v>
      </c>
      <c r="E9" s="108" t="s">
        <v>98</v>
      </c>
      <c r="F9" s="108" t="s">
        <v>99</v>
      </c>
      <c r="G9" s="108" t="s">
        <v>100</v>
      </c>
      <c r="H9" s="108" t="s">
        <v>101</v>
      </c>
      <c r="I9" s="108" t="s">
        <v>102</v>
      </c>
      <c r="J9" s="108" t="s">
        <v>103</v>
      </c>
      <c r="K9" s="108" t="s">
        <v>104</v>
      </c>
      <c r="L9" s="108" t="s">
        <v>105</v>
      </c>
      <c r="M9" s="108" t="s">
        <v>106</v>
      </c>
      <c r="N9" s="108" t="s">
        <v>107</v>
      </c>
    </row>
    <row r="10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8" ht="102.75" thickBot="1">
      <c r="A11" s="110" t="s">
        <v>108</v>
      </c>
      <c r="B11" s="110" t="s">
        <v>109</v>
      </c>
      <c r="C11" s="110" t="s">
        <v>110</v>
      </c>
      <c r="D11" s="110" t="s">
        <v>111</v>
      </c>
      <c r="E11" s="110" t="s">
        <v>112</v>
      </c>
      <c r="F11" s="110" t="s">
        <v>113</v>
      </c>
      <c r="G11" s="110" t="s">
        <v>114</v>
      </c>
      <c r="H11" s="110" t="s">
        <v>115</v>
      </c>
      <c r="I11" s="110" t="s">
        <v>116</v>
      </c>
      <c r="J11" s="110" t="s">
        <v>117</v>
      </c>
      <c r="K11" s="110" t="s">
        <v>118</v>
      </c>
      <c r="L11" s="110" t="s">
        <v>119</v>
      </c>
      <c r="M11" s="110" t="s">
        <v>120</v>
      </c>
      <c r="N11" s="110" t="s">
        <v>121</v>
      </c>
    </row>
    <row r="12" spans="1:18">
      <c r="A12" s="111" t="s">
        <v>122</v>
      </c>
      <c r="B12" s="112" t="s">
        <v>123</v>
      </c>
      <c r="C12" s="113"/>
      <c r="D12" s="113"/>
      <c r="E12" s="113"/>
      <c r="F12" s="113"/>
      <c r="G12" s="113"/>
      <c r="H12" s="113"/>
      <c r="I12" s="113"/>
      <c r="J12" s="114"/>
      <c r="K12" s="113"/>
      <c r="L12" s="114"/>
      <c r="M12" s="113"/>
      <c r="N12" s="113"/>
    </row>
    <row r="13" spans="1:18">
      <c r="A13" s="111" t="s">
        <v>124</v>
      </c>
      <c r="B13" s="115" t="s">
        <v>129</v>
      </c>
      <c r="C13" s="116" t="s">
        <v>130</v>
      </c>
      <c r="D13" s="116" t="s">
        <v>131</v>
      </c>
      <c r="E13" s="114">
        <v>800000</v>
      </c>
      <c r="F13" s="117">
        <v>123076.92307692308</v>
      </c>
      <c r="G13" s="114">
        <v>0</v>
      </c>
      <c r="H13" s="114">
        <v>7000</v>
      </c>
      <c r="I13" s="118">
        <v>30</v>
      </c>
      <c r="J13" s="114">
        <v>29.798668593110715</v>
      </c>
      <c r="K13" s="114">
        <v>6296.8888888888896</v>
      </c>
      <c r="L13" s="114">
        <v>6326.6875574820006</v>
      </c>
      <c r="M13" s="114">
        <v>0</v>
      </c>
      <c r="N13" s="114">
        <v>1073.8342572578367</v>
      </c>
      <c r="P13" s="159"/>
      <c r="Q13" s="160"/>
    </row>
    <row r="14" spans="1:18">
      <c r="A14" s="111" t="s">
        <v>128</v>
      </c>
      <c r="B14" s="115" t="s">
        <v>129</v>
      </c>
      <c r="C14" s="116" t="s">
        <v>133</v>
      </c>
      <c r="D14" s="116" t="s">
        <v>134</v>
      </c>
      <c r="E14" s="114">
        <v>500000</v>
      </c>
      <c r="F14" s="117">
        <v>384615.38461538462</v>
      </c>
      <c r="G14" s="114">
        <v>0</v>
      </c>
      <c r="H14" s="114">
        <v>4375</v>
      </c>
      <c r="I14" s="118">
        <v>30</v>
      </c>
      <c r="J14" s="114">
        <v>115.83757556116686</v>
      </c>
      <c r="K14" s="114">
        <v>24468.888888888894</v>
      </c>
      <c r="L14" s="114">
        <v>24584.726464450061</v>
      </c>
      <c r="M14" s="114">
        <v>0</v>
      </c>
      <c r="N14" s="114">
        <v>3318.342281742096</v>
      </c>
      <c r="P14" s="159"/>
      <c r="Q14" s="160"/>
      <c r="R14" s="143"/>
    </row>
    <row r="15" spans="1:18">
      <c r="A15" s="111" t="s">
        <v>132</v>
      </c>
      <c r="B15" s="115" t="s">
        <v>136</v>
      </c>
      <c r="C15" s="116" t="s">
        <v>137</v>
      </c>
      <c r="D15" s="116" t="s">
        <v>138</v>
      </c>
      <c r="E15" s="114">
        <v>500000</v>
      </c>
      <c r="F15" s="117">
        <v>500000</v>
      </c>
      <c r="G15" s="114">
        <v>1905</v>
      </c>
      <c r="H15" s="114">
        <v>5650</v>
      </c>
      <c r="I15" s="118">
        <v>10</v>
      </c>
      <c r="J15" s="114">
        <v>750.66930260869583</v>
      </c>
      <c r="K15" s="114">
        <v>13750.000000000002</v>
      </c>
      <c r="L15" s="114">
        <v>14500.669302608698</v>
      </c>
      <c r="M15" s="114">
        <v>1127.125</v>
      </c>
      <c r="N15" s="114">
        <v>3314.3350404347843</v>
      </c>
      <c r="P15" s="159"/>
      <c r="Q15" s="160"/>
    </row>
    <row r="16" spans="1:18">
      <c r="A16" s="111" t="s">
        <v>135</v>
      </c>
      <c r="B16" s="115" t="s">
        <v>140</v>
      </c>
      <c r="C16" s="116" t="s">
        <v>141</v>
      </c>
      <c r="D16" s="116" t="s">
        <v>142</v>
      </c>
      <c r="E16" s="114">
        <v>500000</v>
      </c>
      <c r="F16" s="117">
        <v>418172</v>
      </c>
      <c r="G16" s="114">
        <v>6480</v>
      </c>
      <c r="H16" s="114">
        <v>2199.0569799999998</v>
      </c>
      <c r="I16" s="118">
        <v>31</v>
      </c>
      <c r="J16" s="114">
        <v>279.96969567567601</v>
      </c>
      <c r="K16" s="114">
        <v>23522.174999999999</v>
      </c>
      <c r="L16" s="114">
        <v>23802.144695675674</v>
      </c>
      <c r="M16" s="114">
        <v>3499.9784225675717</v>
      </c>
      <c r="N16" s="114">
        <v>1189.5139800000004</v>
      </c>
      <c r="P16" s="159"/>
      <c r="Q16" s="160"/>
    </row>
    <row r="17" spans="1:17">
      <c r="A17" s="111" t="s">
        <v>139</v>
      </c>
      <c r="B17" s="115" t="s">
        <v>144</v>
      </c>
      <c r="C17" s="116" t="s">
        <v>145</v>
      </c>
      <c r="D17" s="116" t="s">
        <v>146</v>
      </c>
      <c r="E17" s="114">
        <v>300000</v>
      </c>
      <c r="F17" s="117">
        <v>229586</v>
      </c>
      <c r="G17" s="114">
        <v>4030</v>
      </c>
      <c r="H17" s="114">
        <v>1593.9194026842999</v>
      </c>
      <c r="I17" s="118">
        <v>30.083333333333332</v>
      </c>
      <c r="J17" s="114">
        <v>186.74760949999995</v>
      </c>
      <c r="K17" s="114">
        <v>12397.644000000002</v>
      </c>
      <c r="L17" s="114">
        <v>12584.391609500002</v>
      </c>
      <c r="M17" s="114">
        <v>2438.9455763749975</v>
      </c>
      <c r="N17" s="114">
        <v>969.19829700000037</v>
      </c>
      <c r="P17" s="159"/>
      <c r="Q17" s="160"/>
    </row>
    <row r="18" spans="1:17">
      <c r="A18" s="111" t="s">
        <v>143</v>
      </c>
      <c r="B18" s="115" t="s">
        <v>148</v>
      </c>
      <c r="C18" s="116" t="s">
        <v>149</v>
      </c>
      <c r="D18" s="116" t="s">
        <v>150</v>
      </c>
      <c r="E18" s="114">
        <v>400000</v>
      </c>
      <c r="F18" s="117">
        <v>394991</v>
      </c>
      <c r="G18" s="114">
        <v>6364</v>
      </c>
      <c r="H18" s="114">
        <v>1996.1578276349001</v>
      </c>
      <c r="I18" s="118">
        <v>31.083333333333332</v>
      </c>
      <c r="J18" s="114">
        <v>268.95969937499996</v>
      </c>
      <c r="K18" s="114">
        <v>22316.9915</v>
      </c>
      <c r="L18" s="114">
        <v>22585.951199374998</v>
      </c>
      <c r="M18" s="114">
        <v>4010.1608781249988</v>
      </c>
      <c r="N18" s="114">
        <v>1256.9665679687489</v>
      </c>
      <c r="P18" s="159"/>
      <c r="Q18" s="160"/>
    </row>
    <row r="19" spans="1:17">
      <c r="A19" s="111" t="s">
        <v>147</v>
      </c>
      <c r="B19" s="115" t="s">
        <v>152</v>
      </c>
      <c r="C19" s="116" t="s">
        <v>153</v>
      </c>
      <c r="D19" s="116" t="s">
        <v>154</v>
      </c>
      <c r="E19" s="114">
        <v>300000</v>
      </c>
      <c r="F19" s="117">
        <v>219161</v>
      </c>
      <c r="G19" s="114">
        <v>2693</v>
      </c>
      <c r="H19" s="114">
        <v>1738.1988999999999</v>
      </c>
      <c r="I19" s="118">
        <v>30</v>
      </c>
      <c r="J19" s="114">
        <v>148.14823983772823</v>
      </c>
      <c r="K19" s="114">
        <v>13587.982000000002</v>
      </c>
      <c r="L19" s="114">
        <v>13736.13023983773</v>
      </c>
      <c r="M19" s="114">
        <v>1692.1411686815431</v>
      </c>
      <c r="N19" s="114">
        <v>1091.8111716024339</v>
      </c>
      <c r="P19" s="159"/>
      <c r="Q19" s="160"/>
    </row>
    <row r="20" spans="1:17">
      <c r="A20" s="111" t="s">
        <v>151</v>
      </c>
      <c r="B20" s="115" t="s">
        <v>156</v>
      </c>
      <c r="C20" s="116" t="s">
        <v>157</v>
      </c>
      <c r="D20" s="116" t="s">
        <v>158</v>
      </c>
      <c r="E20" s="114">
        <v>300000</v>
      </c>
      <c r="F20" s="117">
        <v>300000</v>
      </c>
      <c r="G20" s="114">
        <v>4893</v>
      </c>
      <c r="H20" s="114">
        <v>1634.9651999999999</v>
      </c>
      <c r="I20" s="118">
        <v>30</v>
      </c>
      <c r="J20" s="114">
        <v>217.59881898305076</v>
      </c>
      <c r="K20" s="114">
        <v>14850</v>
      </c>
      <c r="L20" s="114">
        <v>15067.59881898305</v>
      </c>
      <c r="M20" s="114">
        <v>2922.2079567796586</v>
      </c>
      <c r="N20" s="114">
        <v>976.43755000000067</v>
      </c>
      <c r="P20" s="159"/>
      <c r="Q20" s="160"/>
    </row>
    <row r="21" spans="1:17">
      <c r="A21" s="111" t="s">
        <v>155</v>
      </c>
      <c r="B21" s="115" t="s">
        <v>160</v>
      </c>
      <c r="C21" s="116" t="s">
        <v>161</v>
      </c>
      <c r="D21" s="116" t="s">
        <v>162</v>
      </c>
      <c r="E21" s="114">
        <v>200000</v>
      </c>
      <c r="F21" s="117">
        <v>170695</v>
      </c>
      <c r="G21" s="114">
        <v>2212</v>
      </c>
      <c r="H21" s="114">
        <v>910.97675841360001</v>
      </c>
      <c r="I21" s="118">
        <v>30.166666666666668</v>
      </c>
      <c r="J21" s="114">
        <v>103.52415288461536</v>
      </c>
      <c r="K21" s="114">
        <v>9985.6574999999993</v>
      </c>
      <c r="L21" s="114">
        <v>10089.181652884616</v>
      </c>
      <c r="M21" s="114">
        <v>1142.5349824519235</v>
      </c>
      <c r="N21" s="114">
        <v>470.71639999999968</v>
      </c>
      <c r="P21" s="159"/>
      <c r="Q21" s="160"/>
    </row>
    <row r="22" spans="1:17">
      <c r="A22" s="111" t="s">
        <v>159</v>
      </c>
      <c r="B22" s="115" t="s">
        <v>160</v>
      </c>
      <c r="C22" s="116" t="s">
        <v>164</v>
      </c>
      <c r="D22" s="116" t="s">
        <v>165</v>
      </c>
      <c r="E22" s="114">
        <v>300000</v>
      </c>
      <c r="F22" s="117">
        <v>230521</v>
      </c>
      <c r="G22" s="114">
        <v>600</v>
      </c>
      <c r="H22" s="114">
        <v>4097.3441145185998</v>
      </c>
      <c r="I22" s="118">
        <v>30.083333333333332</v>
      </c>
      <c r="J22" s="114">
        <v>156.35639722007733</v>
      </c>
      <c r="K22" s="114">
        <v>13485.478499999999</v>
      </c>
      <c r="L22" s="114">
        <v>13641.834897220077</v>
      </c>
      <c r="M22" s="114">
        <v>395.56784486486453</v>
      </c>
      <c r="N22" s="114">
        <v>2705.5007000000019</v>
      </c>
      <c r="P22" s="159"/>
      <c r="Q22" s="160"/>
    </row>
    <row r="23" spans="1:17">
      <c r="A23" s="111" t="s">
        <v>163</v>
      </c>
      <c r="B23" s="115" t="s">
        <v>278</v>
      </c>
      <c r="C23" s="116" t="s">
        <v>279</v>
      </c>
      <c r="D23" s="116" t="s">
        <v>130</v>
      </c>
      <c r="E23" s="114">
        <v>300000</v>
      </c>
      <c r="F23" s="117">
        <v>253846.15384615384</v>
      </c>
      <c r="G23" s="114">
        <v>84</v>
      </c>
      <c r="H23" s="114">
        <v>3523.7678806824001</v>
      </c>
      <c r="I23" s="118">
        <v>10.083333333333334</v>
      </c>
      <c r="J23" s="114">
        <v>298.72915199999989</v>
      </c>
      <c r="K23" s="114">
        <v>13875</v>
      </c>
      <c r="L23" s="114">
        <v>14173.729152</v>
      </c>
      <c r="M23" s="114">
        <v>2.9371421538461555</v>
      </c>
      <c r="N23" s="114">
        <v>123.44826830769227</v>
      </c>
      <c r="P23" s="159"/>
      <c r="Q23" s="160"/>
    </row>
    <row r="24" spans="1:17">
      <c r="A24" s="111" t="s">
        <v>166</v>
      </c>
      <c r="B24" s="115" t="s">
        <v>167</v>
      </c>
      <c r="C24" s="116" t="s">
        <v>168</v>
      </c>
      <c r="D24" s="116" t="s">
        <v>169</v>
      </c>
      <c r="E24" s="114">
        <v>600000</v>
      </c>
      <c r="F24" s="117">
        <v>600000</v>
      </c>
      <c r="G24" s="114">
        <v>3260</v>
      </c>
      <c r="H24" s="114">
        <v>7838.8020777156999</v>
      </c>
      <c r="I24" s="118">
        <v>30.083333333333332</v>
      </c>
      <c r="J24" s="114">
        <v>369.3480201492535</v>
      </c>
      <c r="K24" s="114">
        <v>35700</v>
      </c>
      <c r="L24" s="114">
        <v>36069.348020149257</v>
      </c>
      <c r="M24" s="114">
        <v>2233.2632647388045</v>
      </c>
      <c r="N24" s="114">
        <v>5369.1501499999958</v>
      </c>
      <c r="P24" s="159"/>
      <c r="Q24" s="160"/>
    </row>
    <row r="25" spans="1:17">
      <c r="A25" s="111" t="s">
        <v>170</v>
      </c>
      <c r="B25" s="115" t="s">
        <v>171</v>
      </c>
      <c r="C25" s="116" t="s">
        <v>172</v>
      </c>
      <c r="D25" s="116" t="s">
        <v>173</v>
      </c>
      <c r="E25" s="114">
        <v>500000</v>
      </c>
      <c r="F25" s="117">
        <v>500000</v>
      </c>
      <c r="G25" s="114">
        <v>499.63499999999999</v>
      </c>
      <c r="H25" s="114">
        <v>6256.2488130922002</v>
      </c>
      <c r="I25" s="118">
        <v>30.083333333333332</v>
      </c>
      <c r="J25" s="114">
        <v>232.65432468085072</v>
      </c>
      <c r="K25" s="114">
        <v>29799.999999999996</v>
      </c>
      <c r="L25" s="114">
        <v>30032.654324680847</v>
      </c>
      <c r="M25" s="114">
        <v>263.89198180851076</v>
      </c>
      <c r="N25" s="114">
        <v>4796.3395799999944</v>
      </c>
      <c r="P25" s="159"/>
      <c r="Q25" s="160"/>
    </row>
    <row r="26" spans="1:17">
      <c r="A26" s="111" t="s">
        <v>174</v>
      </c>
      <c r="B26" s="115" t="s">
        <v>175</v>
      </c>
      <c r="C26" s="116" t="s">
        <v>176</v>
      </c>
      <c r="D26" s="116" t="s">
        <v>177</v>
      </c>
      <c r="E26" s="114">
        <v>400000</v>
      </c>
      <c r="F26" s="117">
        <v>400000</v>
      </c>
      <c r="G26" s="114">
        <v>989</v>
      </c>
      <c r="H26" s="114">
        <v>5408.2598802127995</v>
      </c>
      <c r="I26" s="118">
        <v>30.166666666666668</v>
      </c>
      <c r="J26" s="114">
        <v>205.95012000000011</v>
      </c>
      <c r="K26" s="114">
        <v>20999.999999999996</v>
      </c>
      <c r="L26" s="114">
        <v>21205.950119999998</v>
      </c>
      <c r="M26" s="114">
        <v>775.51339000000087</v>
      </c>
      <c r="N26" s="114">
        <v>4081.4769400000009</v>
      </c>
      <c r="P26" s="159"/>
      <c r="Q26" s="160"/>
    </row>
    <row r="27" spans="1:17">
      <c r="A27" s="111" t="s">
        <v>178</v>
      </c>
      <c r="B27" s="115" t="s">
        <v>179</v>
      </c>
      <c r="C27" s="116" t="s">
        <v>180</v>
      </c>
      <c r="D27" s="116" t="s">
        <v>181</v>
      </c>
      <c r="E27" s="114">
        <v>500000</v>
      </c>
      <c r="F27" s="117">
        <v>500000</v>
      </c>
      <c r="G27" s="114">
        <v>670</v>
      </c>
      <c r="H27" s="114">
        <v>6890</v>
      </c>
      <c r="I27" s="118">
        <v>30</v>
      </c>
      <c r="J27" s="114">
        <v>252.3468660512824</v>
      </c>
      <c r="K27" s="114">
        <v>28450.000000000015</v>
      </c>
      <c r="L27" s="114">
        <v>28702.346866051299</v>
      </c>
      <c r="M27" s="114">
        <v>504.75449579487139</v>
      </c>
      <c r="N27" s="114">
        <v>5204.5933486153926</v>
      </c>
      <c r="P27" s="159"/>
      <c r="Q27" s="160"/>
    </row>
    <row r="28" spans="1:17">
      <c r="A28" s="111" t="s">
        <v>182</v>
      </c>
      <c r="B28" s="115" t="s">
        <v>183</v>
      </c>
      <c r="C28" s="116" t="s">
        <v>184</v>
      </c>
      <c r="D28" s="116" t="s">
        <v>185</v>
      </c>
      <c r="E28" s="114">
        <v>250000</v>
      </c>
      <c r="F28" s="117">
        <v>250000</v>
      </c>
      <c r="G28" s="114">
        <v>225</v>
      </c>
      <c r="H28" s="114">
        <v>3488</v>
      </c>
      <c r="I28" s="118">
        <v>30</v>
      </c>
      <c r="J28" s="114">
        <v>117.97319999999991</v>
      </c>
      <c r="K28" s="114">
        <v>12812.500000000002</v>
      </c>
      <c r="L28" s="114">
        <v>12930.4732</v>
      </c>
      <c r="M28" s="114">
        <v>179.375</v>
      </c>
      <c r="N28" s="114">
        <v>2642.1506999999979</v>
      </c>
      <c r="P28" s="159"/>
      <c r="Q28" s="160"/>
    </row>
    <row r="29" spans="1:17">
      <c r="A29" s="111" t="s">
        <v>186</v>
      </c>
      <c r="B29" s="115" t="s">
        <v>148</v>
      </c>
      <c r="C29" s="116" t="s">
        <v>187</v>
      </c>
      <c r="D29" s="116" t="s">
        <v>188</v>
      </c>
      <c r="E29" s="114">
        <v>240000</v>
      </c>
      <c r="F29" s="117">
        <v>204431</v>
      </c>
      <c r="G29" s="114">
        <v>2775</v>
      </c>
      <c r="H29" s="114">
        <v>1260.4268872463999</v>
      </c>
      <c r="I29" s="118">
        <v>31.083333333333332</v>
      </c>
      <c r="J29" s="114">
        <v>129.82613172413787</v>
      </c>
      <c r="K29" s="114">
        <v>11550.351500000001</v>
      </c>
      <c r="L29" s="114">
        <v>11680.177631724138</v>
      </c>
      <c r="M29" s="114">
        <v>1566.8447094827582</v>
      </c>
      <c r="N29" s="114">
        <v>715.93143999999938</v>
      </c>
      <c r="P29" s="159"/>
      <c r="Q29" s="160"/>
    </row>
    <row r="30" spans="1:17">
      <c r="A30" s="111" t="s">
        <v>189</v>
      </c>
      <c r="B30" s="115" t="s">
        <v>167</v>
      </c>
      <c r="C30" s="116" t="s">
        <v>190</v>
      </c>
      <c r="D30" s="116" t="s">
        <v>191</v>
      </c>
      <c r="E30" s="114">
        <v>300000</v>
      </c>
      <c r="F30" s="117">
        <v>272444</v>
      </c>
      <c r="G30" s="114">
        <v>5802</v>
      </c>
      <c r="H30" s="114">
        <v>1526.6618999999998</v>
      </c>
      <c r="I30" s="118">
        <v>30</v>
      </c>
      <c r="J30" s="114">
        <v>244.28873333333365</v>
      </c>
      <c r="K30" s="114">
        <v>16210.417999999998</v>
      </c>
      <c r="L30" s="114">
        <v>16454.706733333333</v>
      </c>
      <c r="M30" s="114">
        <v>3142.74956666667</v>
      </c>
      <c r="N30" s="114">
        <v>826.94235000000037</v>
      </c>
      <c r="P30" s="159"/>
      <c r="Q30" s="160"/>
    </row>
    <row r="31" spans="1:17">
      <c r="A31" s="111" t="s">
        <v>192</v>
      </c>
      <c r="B31" s="115" t="s">
        <v>193</v>
      </c>
      <c r="C31" s="116" t="s">
        <v>194</v>
      </c>
      <c r="D31" s="116" t="s">
        <v>195</v>
      </c>
      <c r="E31" s="114">
        <v>600000</v>
      </c>
      <c r="F31" s="117">
        <v>600000</v>
      </c>
      <c r="G31" s="114">
        <v>1482</v>
      </c>
      <c r="H31" s="114">
        <v>8250</v>
      </c>
      <c r="I31" s="118">
        <v>30.166666666666668</v>
      </c>
      <c r="J31" s="114">
        <v>318.52271810126609</v>
      </c>
      <c r="K31" s="114">
        <v>24750</v>
      </c>
      <c r="L31" s="114">
        <v>25068.522718101267</v>
      </c>
      <c r="M31" s="114">
        <v>1207.7063533227843</v>
      </c>
      <c r="N31" s="114">
        <v>6622.6438000000071</v>
      </c>
      <c r="P31" s="159"/>
      <c r="Q31" s="160"/>
    </row>
    <row r="32" spans="1:17">
      <c r="A32" s="111" t="s">
        <v>196</v>
      </c>
      <c r="B32" s="115" t="s">
        <v>197</v>
      </c>
      <c r="C32" s="116" t="s">
        <v>198</v>
      </c>
      <c r="D32" s="116" t="s">
        <v>199</v>
      </c>
      <c r="E32" s="114">
        <v>400000</v>
      </c>
      <c r="F32" s="117">
        <v>400000</v>
      </c>
      <c r="G32" s="114">
        <v>1984</v>
      </c>
      <c r="H32" s="114">
        <v>5700</v>
      </c>
      <c r="I32" s="118">
        <v>30</v>
      </c>
      <c r="J32" s="114">
        <v>240.9678384073504</v>
      </c>
      <c r="K32" s="114">
        <v>15199.999999999998</v>
      </c>
      <c r="L32" s="114">
        <v>15440.967838407349</v>
      </c>
      <c r="M32" s="114">
        <v>1683.6441003215912</v>
      </c>
      <c r="N32" s="114">
        <v>4450.9954524655395</v>
      </c>
      <c r="P32" s="159"/>
      <c r="Q32" s="160"/>
    </row>
    <row r="33" spans="1:17">
      <c r="A33" s="111" t="s">
        <v>200</v>
      </c>
      <c r="B33" s="115" t="s">
        <v>201</v>
      </c>
      <c r="C33" s="116" t="s">
        <v>202</v>
      </c>
      <c r="D33" s="116" t="s">
        <v>203</v>
      </c>
      <c r="E33" s="114">
        <v>600000</v>
      </c>
      <c r="F33" s="117">
        <v>600000</v>
      </c>
      <c r="G33" s="114">
        <v>840</v>
      </c>
      <c r="H33" s="114">
        <v>8150</v>
      </c>
      <c r="I33" s="118">
        <v>30.083333333333332</v>
      </c>
      <c r="J33" s="114">
        <v>290.27771999999965</v>
      </c>
      <c r="K33" s="114">
        <v>24300</v>
      </c>
      <c r="L33" s="114">
        <v>24590.277719999998</v>
      </c>
      <c r="M33" s="114">
        <v>695.73413000000016</v>
      </c>
      <c r="N33" s="114">
        <v>6537.0190599999914</v>
      </c>
      <c r="P33" s="159"/>
      <c r="Q33" s="160"/>
    </row>
    <row r="34" spans="1:17">
      <c r="A34" s="111" t="s">
        <v>204</v>
      </c>
      <c r="B34" s="115" t="s">
        <v>201</v>
      </c>
      <c r="C34" s="116" t="s">
        <v>205</v>
      </c>
      <c r="D34" s="116" t="s">
        <v>206</v>
      </c>
      <c r="E34" s="114">
        <v>500000</v>
      </c>
      <c r="F34" s="117">
        <v>500000</v>
      </c>
      <c r="G34" s="114">
        <v>1650</v>
      </c>
      <c r="H34" s="114">
        <v>6775</v>
      </c>
      <c r="I34" s="118">
        <v>30.083333333333332</v>
      </c>
      <c r="J34" s="114">
        <v>277.57019604017205</v>
      </c>
      <c r="K34" s="114">
        <v>20250</v>
      </c>
      <c r="L34" s="114">
        <v>20527.570196040171</v>
      </c>
      <c r="M34" s="114">
        <v>1494.7360120516503</v>
      </c>
      <c r="N34" s="114">
        <v>6080.6172548780432</v>
      </c>
      <c r="P34" s="159"/>
      <c r="Q34" s="160"/>
    </row>
    <row r="35" spans="1:17">
      <c r="A35" s="111" t="s">
        <v>207</v>
      </c>
      <c r="B35" s="115" t="s">
        <v>208</v>
      </c>
      <c r="C35" s="116" t="s">
        <v>209</v>
      </c>
      <c r="D35" s="116" t="s">
        <v>210</v>
      </c>
      <c r="E35" s="114">
        <v>500000</v>
      </c>
      <c r="F35" s="117">
        <v>500000</v>
      </c>
      <c r="G35" s="114">
        <v>645</v>
      </c>
      <c r="H35" s="114">
        <v>5650</v>
      </c>
      <c r="I35" s="118">
        <v>10.083333333333334</v>
      </c>
      <c r="J35" s="114">
        <v>643.48515807692274</v>
      </c>
      <c r="K35" s="114">
        <v>16249.999999999998</v>
      </c>
      <c r="L35" s="114">
        <v>16893.485158076921</v>
      </c>
      <c r="M35" s="114">
        <v>442.43813999999992</v>
      </c>
      <c r="N35" s="114">
        <v>4008.3342033653807</v>
      </c>
      <c r="P35" s="159"/>
      <c r="Q35" s="160"/>
    </row>
    <row r="36" spans="1:17">
      <c r="A36" s="111" t="s">
        <v>211</v>
      </c>
      <c r="B36" s="115" t="s">
        <v>212</v>
      </c>
      <c r="C36" s="116" t="s">
        <v>213</v>
      </c>
      <c r="D36" s="116" t="s">
        <v>214</v>
      </c>
      <c r="E36" s="114">
        <v>600000</v>
      </c>
      <c r="F36" s="117">
        <v>600000</v>
      </c>
      <c r="G36" s="114">
        <v>0</v>
      </c>
      <c r="H36" s="114">
        <v>6600</v>
      </c>
      <c r="I36" s="118">
        <v>10</v>
      </c>
      <c r="J36" s="114">
        <v>524.8632788763698</v>
      </c>
      <c r="K36" s="114">
        <v>18000</v>
      </c>
      <c r="L36" s="114">
        <v>18524.863278876372</v>
      </c>
      <c r="M36" s="114">
        <v>0</v>
      </c>
      <c r="N36" s="114">
        <v>4395.7299605895969</v>
      </c>
      <c r="P36" s="159"/>
      <c r="Q36" s="160"/>
    </row>
    <row r="37" spans="1:17">
      <c r="A37" s="111" t="s">
        <v>215</v>
      </c>
      <c r="B37" s="115" t="s">
        <v>216</v>
      </c>
      <c r="C37" s="116" t="s">
        <v>217</v>
      </c>
      <c r="D37" s="116" t="s">
        <v>218</v>
      </c>
      <c r="E37" s="114">
        <v>300000</v>
      </c>
      <c r="F37" s="117">
        <v>300000</v>
      </c>
      <c r="G37" s="114">
        <v>0</v>
      </c>
      <c r="H37" s="114">
        <v>2625</v>
      </c>
      <c r="I37" s="118">
        <v>30</v>
      </c>
      <c r="J37" s="114">
        <v>87.492066921425305</v>
      </c>
      <c r="K37" s="114">
        <v>15690.000000000002</v>
      </c>
      <c r="L37" s="114">
        <v>15777.492066921428</v>
      </c>
      <c r="M37" s="114">
        <v>0</v>
      </c>
      <c r="N37" s="114">
        <v>2511.7514212025844</v>
      </c>
      <c r="P37" s="159"/>
      <c r="Q37" s="160"/>
    </row>
    <row r="38" spans="1:17">
      <c r="A38" s="111" t="s">
        <v>219</v>
      </c>
      <c r="P38" s="165"/>
      <c r="Q38" s="161"/>
    </row>
    <row r="39" spans="1:17">
      <c r="A39" s="111" t="s">
        <v>223</v>
      </c>
      <c r="B39" s="112" t="s">
        <v>225</v>
      </c>
      <c r="C39" s="113"/>
      <c r="D39" s="113"/>
      <c r="E39" s="113"/>
      <c r="F39" s="113"/>
      <c r="G39" s="113"/>
      <c r="H39" s="113"/>
      <c r="I39" s="113"/>
      <c r="J39" s="114"/>
      <c r="K39" s="113"/>
      <c r="L39" s="114"/>
      <c r="M39" s="113"/>
      <c r="N39" s="113"/>
      <c r="P39" s="165"/>
      <c r="Q39" s="161"/>
    </row>
    <row r="40" spans="1:17">
      <c r="A40" s="111" t="s">
        <v>224</v>
      </c>
      <c r="B40" s="115" t="s">
        <v>227</v>
      </c>
      <c r="C40" s="116" t="s">
        <v>228</v>
      </c>
      <c r="D40" s="116" t="s">
        <v>229</v>
      </c>
      <c r="E40" s="114">
        <v>288000</v>
      </c>
      <c r="F40" s="117">
        <v>168957.30515384616</v>
      </c>
      <c r="G40" s="114">
        <v>96</v>
      </c>
      <c r="H40" s="114">
        <v>3334</v>
      </c>
      <c r="I40" s="118">
        <v>12.25</v>
      </c>
      <c r="J40" s="114">
        <v>279.98712000000006</v>
      </c>
      <c r="K40" s="114">
        <v>8901.044385981706</v>
      </c>
      <c r="L40" s="114">
        <v>9181.0315059817058</v>
      </c>
      <c r="M40" s="114">
        <v>8.2782500000000034</v>
      </c>
      <c r="N40" s="114">
        <v>575.02824999999984</v>
      </c>
      <c r="P40" s="165"/>
      <c r="Q40" s="161"/>
    </row>
    <row r="41" spans="1:17">
      <c r="A41" s="111" t="s">
        <v>226</v>
      </c>
      <c r="P41" s="144"/>
    </row>
    <row r="42" spans="1:17">
      <c r="A42" s="111"/>
      <c r="P42" s="144"/>
    </row>
    <row r="43" spans="1:17" ht="15.75" thickBo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P43" s="144"/>
    </row>
    <row r="44" spans="1:17">
      <c r="A44" s="109"/>
      <c r="B44" s="119" t="s">
        <v>280</v>
      </c>
      <c r="C44" s="109"/>
      <c r="D44" s="109"/>
      <c r="E44" s="109"/>
      <c r="F44" s="109"/>
      <c r="G44" s="109"/>
      <c r="H44" s="109"/>
      <c r="I44" s="109"/>
      <c r="J44" s="109"/>
      <c r="K44" s="119" t="s">
        <v>231</v>
      </c>
      <c r="L44" s="109"/>
      <c r="M44" s="109"/>
      <c r="N44" s="109"/>
      <c r="P44" s="144"/>
    </row>
    <row r="45" spans="1:17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P45" s="144"/>
    </row>
    <row r="46" spans="1:17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P46" s="144"/>
    </row>
    <row r="47" spans="1:17">
      <c r="A47" s="111" t="s">
        <v>122</v>
      </c>
      <c r="B47" s="112" t="s">
        <v>232</v>
      </c>
      <c r="C47" s="113"/>
      <c r="D47" s="113"/>
      <c r="E47" s="113"/>
      <c r="F47" s="113"/>
      <c r="G47" s="113"/>
      <c r="H47" s="113"/>
      <c r="I47" s="113"/>
      <c r="J47" s="114"/>
      <c r="K47" s="113"/>
      <c r="L47" s="114"/>
      <c r="M47" s="113"/>
      <c r="N47" s="113"/>
      <c r="P47" s="144"/>
    </row>
    <row r="48" spans="1:17">
      <c r="A48" s="111" t="s">
        <v>124</v>
      </c>
      <c r="B48" s="115" t="s">
        <v>233</v>
      </c>
      <c r="C48" s="116" t="s">
        <v>213</v>
      </c>
      <c r="D48" s="116" t="s">
        <v>126</v>
      </c>
      <c r="E48" s="114">
        <v>600000</v>
      </c>
      <c r="F48" s="117">
        <v>600000</v>
      </c>
      <c r="G48" s="114">
        <v>0</v>
      </c>
      <c r="H48" s="114">
        <v>32</v>
      </c>
      <c r="I48" s="118">
        <v>3</v>
      </c>
      <c r="J48" s="114">
        <v>999.2668338799914</v>
      </c>
      <c r="K48" s="114">
        <v>6882.2</v>
      </c>
      <c r="L48" s="114">
        <v>7881.4668338799911</v>
      </c>
      <c r="M48" s="114">
        <v>0</v>
      </c>
      <c r="N48" s="114">
        <v>14.222</v>
      </c>
      <c r="P48" s="144"/>
    </row>
    <row r="49" spans="1:16">
      <c r="A49" s="111" t="s">
        <v>128</v>
      </c>
      <c r="P49" s="144"/>
    </row>
    <row r="50" spans="1:16">
      <c r="A50" s="111" t="s">
        <v>132</v>
      </c>
      <c r="B50" s="112" t="s">
        <v>234</v>
      </c>
      <c r="C50" s="113"/>
      <c r="D50" s="113"/>
      <c r="E50" s="113"/>
      <c r="F50" s="113"/>
      <c r="G50" s="113"/>
      <c r="H50" s="113"/>
      <c r="I50" s="113"/>
      <c r="J50" s="114"/>
      <c r="K50" s="113"/>
      <c r="L50" s="114"/>
      <c r="M50" s="113"/>
      <c r="N50" s="113"/>
      <c r="P50" s="144"/>
    </row>
    <row r="51" spans="1:16">
      <c r="A51" s="111" t="s">
        <v>135</v>
      </c>
      <c r="B51" s="115" t="s">
        <v>235</v>
      </c>
      <c r="C51" s="116" t="s">
        <v>236</v>
      </c>
      <c r="D51" s="116" t="s">
        <v>237</v>
      </c>
      <c r="E51" s="114">
        <v>85000</v>
      </c>
      <c r="F51" s="117">
        <v>85000</v>
      </c>
      <c r="G51" s="114">
        <v>0</v>
      </c>
      <c r="H51" s="114">
        <v>720</v>
      </c>
      <c r="I51" s="118">
        <v>30</v>
      </c>
      <c r="J51" s="114">
        <v>16.482394382022481</v>
      </c>
      <c r="K51" s="114">
        <v>974.97833333333335</v>
      </c>
      <c r="L51" s="114">
        <v>991.4607277153558</v>
      </c>
      <c r="M51" s="114">
        <v>0</v>
      </c>
      <c r="N51" s="114">
        <v>596</v>
      </c>
      <c r="P51" s="144"/>
    </row>
    <row r="52" spans="1:16">
      <c r="A52" s="111" t="s">
        <v>139</v>
      </c>
      <c r="B52" s="115" t="s">
        <v>238</v>
      </c>
      <c r="C52" s="116" t="s">
        <v>239</v>
      </c>
      <c r="D52" s="116" t="s">
        <v>240</v>
      </c>
      <c r="E52" s="114">
        <v>15000</v>
      </c>
      <c r="F52" s="117">
        <v>15000</v>
      </c>
      <c r="G52" s="114">
        <v>0</v>
      </c>
      <c r="H52" s="114">
        <v>520</v>
      </c>
      <c r="I52" s="118">
        <v>31.5</v>
      </c>
      <c r="J52" s="114">
        <v>16.501559999999984</v>
      </c>
      <c r="K52" s="114">
        <v>183.30500000000001</v>
      </c>
      <c r="L52" s="114">
        <v>199.80655999999999</v>
      </c>
      <c r="M52" s="114">
        <v>0</v>
      </c>
      <c r="N52" s="114">
        <v>92.133709999999908</v>
      </c>
      <c r="P52" s="144"/>
    </row>
    <row r="53" spans="1:16">
      <c r="A53" s="111" t="s">
        <v>143</v>
      </c>
      <c r="B53" s="115" t="s">
        <v>238</v>
      </c>
      <c r="C53" s="116" t="s">
        <v>241</v>
      </c>
      <c r="D53" s="116" t="s">
        <v>242</v>
      </c>
      <c r="E53" s="114">
        <v>45750</v>
      </c>
      <c r="F53" s="117">
        <v>45750</v>
      </c>
      <c r="G53" s="114">
        <v>0</v>
      </c>
      <c r="H53" s="114">
        <v>711</v>
      </c>
      <c r="I53" s="118">
        <v>27.5</v>
      </c>
      <c r="J53" s="114">
        <v>25.844039999999978</v>
      </c>
      <c r="K53" s="114">
        <v>570.44446232876703</v>
      </c>
      <c r="L53" s="114">
        <v>596.28850232876698</v>
      </c>
      <c r="M53" s="114">
        <v>0</v>
      </c>
      <c r="N53" s="114">
        <v>101.22248999999994</v>
      </c>
      <c r="P53" s="144"/>
    </row>
    <row r="54" spans="1:16">
      <c r="A54" s="111" t="s">
        <v>147</v>
      </c>
      <c r="B54" s="115" t="s">
        <v>243</v>
      </c>
      <c r="C54" s="116" t="s">
        <v>244</v>
      </c>
      <c r="D54" s="116" t="s">
        <v>245</v>
      </c>
      <c r="E54" s="114">
        <v>45960</v>
      </c>
      <c r="F54" s="117">
        <v>45960</v>
      </c>
      <c r="G54" s="114">
        <v>0</v>
      </c>
      <c r="H54" s="114">
        <v>397</v>
      </c>
      <c r="I54" s="118">
        <v>30.5</v>
      </c>
      <c r="J54" s="114">
        <v>13.006567850467276</v>
      </c>
      <c r="K54" s="114">
        <v>573.06289592634187</v>
      </c>
      <c r="L54" s="114">
        <v>586.06946377680913</v>
      </c>
      <c r="M54" s="114">
        <v>0</v>
      </c>
      <c r="N54" s="114">
        <v>93.213736261682129</v>
      </c>
      <c r="P54" s="144"/>
    </row>
    <row r="55" spans="1:16">
      <c r="A55" s="111" t="s">
        <v>151</v>
      </c>
      <c r="B55" s="115" t="s">
        <v>246</v>
      </c>
      <c r="C55" s="116" t="s">
        <v>244</v>
      </c>
      <c r="D55" s="116" t="s">
        <v>245</v>
      </c>
      <c r="E55" s="114">
        <v>16510</v>
      </c>
      <c r="F55" s="117">
        <v>16510</v>
      </c>
      <c r="G55" s="114">
        <v>0</v>
      </c>
      <c r="H55" s="114">
        <v>132</v>
      </c>
      <c r="I55" s="118">
        <v>30.5</v>
      </c>
      <c r="J55" s="114">
        <v>4.3203600000000026</v>
      </c>
      <c r="K55" s="114">
        <v>205.85875569503705</v>
      </c>
      <c r="L55" s="114">
        <v>210.17911569503707</v>
      </c>
      <c r="M55" s="114">
        <v>0</v>
      </c>
      <c r="N55" s="114">
        <v>30.962580000000024</v>
      </c>
      <c r="P55" s="144"/>
    </row>
    <row r="56" spans="1:16">
      <c r="A56" s="111" t="s">
        <v>155</v>
      </c>
      <c r="B56" s="115" t="s">
        <v>247</v>
      </c>
      <c r="C56" s="116" t="s">
        <v>244</v>
      </c>
      <c r="D56" s="116" t="s">
        <v>245</v>
      </c>
      <c r="E56" s="114">
        <v>4480</v>
      </c>
      <c r="F56" s="117">
        <v>4480</v>
      </c>
      <c r="G56" s="114">
        <v>0</v>
      </c>
      <c r="H56" s="114">
        <v>83</v>
      </c>
      <c r="I56" s="118">
        <v>30.5</v>
      </c>
      <c r="J56" s="114">
        <v>2.71692</v>
      </c>
      <c r="K56" s="114">
        <v>55.859916748259607</v>
      </c>
      <c r="L56" s="114">
        <v>58.576836748259609</v>
      </c>
      <c r="M56" s="114">
        <v>0</v>
      </c>
      <c r="N56" s="114">
        <v>19.471260000000001</v>
      </c>
      <c r="P56" s="144"/>
    </row>
    <row r="57" spans="1:16">
      <c r="A57" s="111" t="s">
        <v>159</v>
      </c>
      <c r="B57" s="115" t="s">
        <v>243</v>
      </c>
      <c r="C57" s="116" t="s">
        <v>248</v>
      </c>
      <c r="D57" s="116" t="s">
        <v>249</v>
      </c>
      <c r="E57" s="114">
        <v>28300</v>
      </c>
      <c r="F57" s="117">
        <v>28300</v>
      </c>
      <c r="G57" s="114">
        <v>0</v>
      </c>
      <c r="H57" s="114">
        <v>371</v>
      </c>
      <c r="I57" s="118">
        <v>35</v>
      </c>
      <c r="J57" s="114">
        <v>10.595879999999987</v>
      </c>
      <c r="K57" s="114">
        <v>352.86509910172919</v>
      </c>
      <c r="L57" s="114">
        <v>363.46097910172915</v>
      </c>
      <c r="M57" s="114">
        <v>0</v>
      </c>
      <c r="N57" s="114">
        <v>104.19281999999988</v>
      </c>
      <c r="P57" s="144"/>
    </row>
    <row r="58" spans="1:16">
      <c r="A58" s="111" t="s">
        <v>163</v>
      </c>
      <c r="B58" s="115" t="s">
        <v>238</v>
      </c>
      <c r="C58" s="116" t="s">
        <v>250</v>
      </c>
      <c r="D58" s="116" t="s">
        <v>251</v>
      </c>
      <c r="E58" s="114">
        <v>8635</v>
      </c>
      <c r="F58" s="117">
        <v>8635</v>
      </c>
      <c r="G58" s="114">
        <v>0</v>
      </c>
      <c r="H58" s="114">
        <v>182</v>
      </c>
      <c r="I58" s="118">
        <v>25.083333333333332</v>
      </c>
      <c r="J58" s="114">
        <v>7.26</v>
      </c>
      <c r="K58" s="114">
        <v>105.51811830638522</v>
      </c>
      <c r="L58" s="114">
        <v>112.77811830638522</v>
      </c>
      <c r="M58" s="114">
        <v>0</v>
      </c>
      <c r="N58" s="114">
        <v>19.965</v>
      </c>
      <c r="P58" s="144"/>
    </row>
    <row r="59" spans="1:16">
      <c r="A59" s="111" t="s">
        <v>166</v>
      </c>
      <c r="B59" s="115" t="s">
        <v>243</v>
      </c>
      <c r="C59" s="116" t="s">
        <v>252</v>
      </c>
      <c r="D59" s="116" t="s">
        <v>253</v>
      </c>
      <c r="E59" s="114">
        <v>51940</v>
      </c>
      <c r="F59" s="117">
        <v>51940</v>
      </c>
      <c r="G59" s="114">
        <v>0</v>
      </c>
      <c r="H59" s="114">
        <v>345</v>
      </c>
      <c r="I59" s="118">
        <v>33.916666666666664</v>
      </c>
      <c r="J59" s="114">
        <v>10.182720000000005</v>
      </c>
      <c r="K59" s="114">
        <v>634.6972860259001</v>
      </c>
      <c r="L59" s="114">
        <v>644.8800060259</v>
      </c>
      <c r="M59" s="114">
        <v>0</v>
      </c>
      <c r="N59" s="114">
        <v>120.49552000000004</v>
      </c>
      <c r="P59" s="144"/>
    </row>
    <row r="60" spans="1:16">
      <c r="A60" s="111" t="s">
        <v>170</v>
      </c>
      <c r="B60" s="115" t="s">
        <v>254</v>
      </c>
      <c r="C60" s="116" t="s">
        <v>255</v>
      </c>
      <c r="D60" s="116" t="s">
        <v>256</v>
      </c>
      <c r="E60" s="114">
        <v>95700</v>
      </c>
      <c r="F60" s="117">
        <v>95700</v>
      </c>
      <c r="G60" s="114">
        <v>0</v>
      </c>
      <c r="H60" s="114">
        <v>499</v>
      </c>
      <c r="I60" s="118">
        <v>22.25</v>
      </c>
      <c r="J60" s="114">
        <v>22.489170370370353</v>
      </c>
      <c r="K60" s="114">
        <v>1193.3449938693016</v>
      </c>
      <c r="L60" s="114">
        <v>1215.834164239672</v>
      </c>
      <c r="M60" s="114">
        <v>0</v>
      </c>
      <c r="N60" s="114">
        <v>112.44585185185177</v>
      </c>
      <c r="P60" s="144"/>
    </row>
    <row r="61" spans="1:16">
      <c r="A61" s="111" t="s">
        <v>174</v>
      </c>
      <c r="B61" s="115" t="s">
        <v>257</v>
      </c>
      <c r="C61" s="116" t="s">
        <v>258</v>
      </c>
      <c r="D61" s="116" t="s">
        <v>259</v>
      </c>
      <c r="E61" s="114">
        <v>242210</v>
      </c>
      <c r="F61" s="117">
        <v>242210</v>
      </c>
      <c r="G61" s="114">
        <v>0</v>
      </c>
      <c r="H61" s="114">
        <v>570</v>
      </c>
      <c r="I61" s="118">
        <v>28</v>
      </c>
      <c r="J61" s="114">
        <v>20.368919999999996</v>
      </c>
      <c r="K61" s="114">
        <v>2960.3846266666665</v>
      </c>
      <c r="L61" s="114">
        <v>2980.7535466666664</v>
      </c>
      <c r="M61" s="114">
        <v>0</v>
      </c>
      <c r="N61" s="114">
        <v>227.4529399999999</v>
      </c>
      <c r="P61" s="144"/>
    </row>
    <row r="62" spans="1:16">
      <c r="A62" s="111" t="s">
        <v>178</v>
      </c>
      <c r="B62" s="115" t="s">
        <v>257</v>
      </c>
      <c r="C62" s="116" t="s">
        <v>260</v>
      </c>
      <c r="D62" s="116" t="s">
        <v>261</v>
      </c>
      <c r="E62" s="114">
        <v>78785</v>
      </c>
      <c r="F62" s="117">
        <v>78785</v>
      </c>
      <c r="G62" s="114">
        <v>0</v>
      </c>
      <c r="H62" s="114">
        <v>442</v>
      </c>
      <c r="I62" s="118">
        <v>21</v>
      </c>
      <c r="J62" s="114">
        <v>21.054240000000032</v>
      </c>
      <c r="K62" s="114">
        <v>962.77896166666676</v>
      </c>
      <c r="L62" s="114">
        <v>983.83320166666681</v>
      </c>
      <c r="M62" s="114">
        <v>0</v>
      </c>
      <c r="N62" s="114">
        <v>143.87064000000024</v>
      </c>
      <c r="P62" s="144"/>
    </row>
    <row r="63" spans="1:16" ht="15.75" thickBot="1">
      <c r="A63" s="111" t="s">
        <v>182</v>
      </c>
      <c r="B63" s="112" t="s">
        <v>262</v>
      </c>
      <c r="C63" s="116" t="s">
        <v>263</v>
      </c>
      <c r="D63" s="116" t="s">
        <v>263</v>
      </c>
      <c r="E63" s="114">
        <v>0</v>
      </c>
      <c r="F63" s="117">
        <v>0</v>
      </c>
      <c r="G63" s="114">
        <v>0</v>
      </c>
      <c r="H63" s="114">
        <v>0</v>
      </c>
      <c r="I63" s="118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92401.669487115039</v>
      </c>
      <c r="P63" s="144"/>
    </row>
    <row r="64" spans="1:16" ht="15.75" thickTop="1">
      <c r="A64" s="111" t="s">
        <v>186</v>
      </c>
      <c r="B64" s="112" t="s">
        <v>264</v>
      </c>
      <c r="C64" s="113">
        <v>0</v>
      </c>
      <c r="D64" s="113">
        <v>0</v>
      </c>
      <c r="E64" s="132">
        <v>12296270</v>
      </c>
      <c r="F64" s="132">
        <v>10938766.766692309</v>
      </c>
      <c r="G64" s="132">
        <v>50178.635000000002</v>
      </c>
      <c r="H64" s="132">
        <v>119475.7866222009</v>
      </c>
      <c r="I64" s="113">
        <v>0</v>
      </c>
      <c r="J64" s="132">
        <v>7941.9824110843356</v>
      </c>
      <c r="K64" s="133">
        <f>SUM(K13:K62)</f>
        <v>483056.31861342792</v>
      </c>
      <c r="L64" s="133">
        <f>SUM(L13:L62)</f>
        <v>490998.30102451221</v>
      </c>
      <c r="M64" s="132">
        <v>31430.528366187042</v>
      </c>
      <c r="N64" s="132">
        <f>SUM(N13:N63)</f>
        <v>169386.12646065868</v>
      </c>
    </row>
    <row r="65" spans="1:14">
      <c r="A65" s="111" t="s">
        <v>189</v>
      </c>
      <c r="B65" s="112" t="s">
        <v>265</v>
      </c>
      <c r="C65" s="116" t="s">
        <v>263</v>
      </c>
      <c r="D65" s="116" t="s">
        <v>263</v>
      </c>
      <c r="E65" s="114">
        <v>0</v>
      </c>
      <c r="F65" s="117"/>
      <c r="G65" s="114">
        <v>0</v>
      </c>
      <c r="H65" s="114">
        <v>0</v>
      </c>
      <c r="I65" s="118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</row>
    <row r="66" spans="1:14" ht="15.75" thickBot="1">
      <c r="A66" s="111" t="s">
        <v>192</v>
      </c>
      <c r="B66" s="112" t="s">
        <v>266</v>
      </c>
      <c r="C66" s="116" t="s">
        <v>263</v>
      </c>
      <c r="D66" s="116" t="s">
        <v>263</v>
      </c>
      <c r="E66" s="114">
        <v>0</v>
      </c>
      <c r="F66" s="135">
        <f>-SUM(M64:N64)</f>
        <v>-200816.65482684571</v>
      </c>
      <c r="G66" s="114">
        <v>0</v>
      </c>
      <c r="H66" s="114">
        <v>0</v>
      </c>
      <c r="I66" s="118">
        <v>0</v>
      </c>
      <c r="J66" s="114">
        <v>0</v>
      </c>
      <c r="K66" s="114">
        <v>0</v>
      </c>
      <c r="L66" s="114">
        <v>0</v>
      </c>
      <c r="M66" s="114">
        <v>0</v>
      </c>
      <c r="N66" s="114">
        <v>0</v>
      </c>
    </row>
    <row r="67" spans="1:14" ht="15.75" thickTop="1">
      <c r="A67" s="111" t="s">
        <v>196</v>
      </c>
      <c r="B67" s="112" t="s">
        <v>267</v>
      </c>
      <c r="C67" s="113">
        <v>0</v>
      </c>
      <c r="D67" s="113">
        <v>0</v>
      </c>
      <c r="E67" s="113">
        <v>0</v>
      </c>
      <c r="F67" s="132">
        <f>SUM(F64:F66)</f>
        <v>10737950.111865463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/>
    </row>
    <row r="68" spans="1:14" ht="15.75" thickBot="1">
      <c r="A68" s="111" t="s">
        <v>200</v>
      </c>
      <c r="B68" s="112" t="s">
        <v>268</v>
      </c>
      <c r="C68" s="113">
        <v>0</v>
      </c>
      <c r="D68" s="113">
        <v>0</v>
      </c>
      <c r="E68" s="113">
        <v>0</v>
      </c>
      <c r="F68" s="137">
        <v>4.5730727550607933E-2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</row>
    <row r="69" spans="1:14" ht="15.75" thickTop="1">
      <c r="A69" s="111" t="s">
        <v>204</v>
      </c>
    </row>
    <row r="70" spans="1:14">
      <c r="A70" s="111" t="s">
        <v>207</v>
      </c>
      <c r="B70" s="138" t="s">
        <v>269</v>
      </c>
      <c r="C70" s="119" t="s">
        <v>270</v>
      </c>
      <c r="D70" s="119"/>
      <c r="E70" s="119"/>
      <c r="F70" s="139"/>
      <c r="G70" s="139">
        <f>F64-F40</f>
        <v>10769809.461538462</v>
      </c>
    </row>
    <row r="71" spans="1:14">
      <c r="A71" s="111" t="s">
        <v>211</v>
      </c>
      <c r="B71" s="119"/>
      <c r="C71" s="119" t="s">
        <v>271</v>
      </c>
      <c r="D71" s="119"/>
      <c r="E71" s="119"/>
      <c r="F71" s="140"/>
      <c r="G71" s="140">
        <f>F66+M40+N40</f>
        <v>-200233.34832684571</v>
      </c>
    </row>
    <row r="72" spans="1:14">
      <c r="A72" s="111" t="s">
        <v>215</v>
      </c>
      <c r="B72" s="112" t="s">
        <v>272</v>
      </c>
      <c r="C72" s="112" t="s">
        <v>272</v>
      </c>
      <c r="D72" s="119"/>
      <c r="E72" s="119"/>
      <c r="F72" s="119"/>
      <c r="G72" s="141">
        <v>-4630</v>
      </c>
    </row>
    <row r="73" spans="1:14">
      <c r="A73" s="111" t="s">
        <v>219</v>
      </c>
      <c r="B73" s="119"/>
      <c r="C73" s="119" t="s">
        <v>267</v>
      </c>
      <c r="D73" s="119"/>
      <c r="E73" s="119"/>
      <c r="F73" s="119"/>
      <c r="G73" s="139">
        <f>SUM(G70:G72)</f>
        <v>10564946.113211617</v>
      </c>
    </row>
    <row r="74" spans="1:14">
      <c r="A74" s="111" t="s">
        <v>223</v>
      </c>
      <c r="B74" s="119"/>
      <c r="C74" s="119"/>
      <c r="D74" s="119"/>
      <c r="E74" s="119"/>
      <c r="F74" s="119"/>
      <c r="G74" s="119"/>
    </row>
    <row r="75" spans="1:14">
      <c r="A75" s="111" t="s">
        <v>224</v>
      </c>
      <c r="B75" s="119"/>
      <c r="C75" s="119" t="s">
        <v>273</v>
      </c>
      <c r="D75" s="119"/>
      <c r="E75" s="119"/>
      <c r="F75" s="119"/>
      <c r="G75" s="139">
        <f>L64-L40</f>
        <v>481817.26951853052</v>
      </c>
    </row>
    <row r="76" spans="1:14">
      <c r="A76" s="111" t="s">
        <v>226</v>
      </c>
      <c r="B76" s="119"/>
      <c r="C76" s="119" t="s">
        <v>274</v>
      </c>
      <c r="D76" s="119"/>
      <c r="E76" s="119"/>
      <c r="F76" s="119"/>
      <c r="G76" s="141">
        <v>5947</v>
      </c>
    </row>
    <row r="77" spans="1:14">
      <c r="A77" s="111"/>
      <c r="B77" s="119"/>
      <c r="C77" s="119"/>
      <c r="D77" s="119"/>
      <c r="E77" s="119"/>
      <c r="F77" s="119"/>
      <c r="G77" s="139">
        <f>SUM(G75:G76)</f>
        <v>487764.26951853052</v>
      </c>
    </row>
    <row r="78" spans="1:14">
      <c r="A78" s="111"/>
      <c r="B78" s="119"/>
      <c r="C78" s="119"/>
      <c r="D78" s="119"/>
      <c r="E78" s="119"/>
      <c r="F78" s="119"/>
      <c r="G78" s="139"/>
    </row>
    <row r="79" spans="1:14" ht="15.75" thickBot="1">
      <c r="A79" s="111"/>
      <c r="B79" s="119"/>
      <c r="C79" s="112" t="s">
        <v>268</v>
      </c>
      <c r="D79" s="119"/>
      <c r="E79" s="119"/>
      <c r="F79" s="119"/>
      <c r="G79" s="142">
        <f>G77/G73</f>
        <v>4.6168173911324953E-2</v>
      </c>
    </row>
    <row r="80" spans="1:14" ht="16.5" thickTop="1" thickBot="1">
      <c r="A80" s="105"/>
      <c r="B80" s="145"/>
      <c r="C80" s="145"/>
      <c r="D80" s="145"/>
      <c r="E80" s="145"/>
      <c r="F80" s="145"/>
      <c r="G80" s="145"/>
      <c r="H80" s="105"/>
      <c r="I80" s="105"/>
      <c r="J80" s="105"/>
      <c r="K80" s="105"/>
      <c r="L80" s="105"/>
      <c r="M80" s="105"/>
      <c r="N80" s="105"/>
    </row>
    <row r="81" spans="2:11">
      <c r="B81" s="119" t="s">
        <v>280</v>
      </c>
      <c r="K81" s="119" t="s">
        <v>231</v>
      </c>
    </row>
  </sheetData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  <rowBreaks count="1" manualBreakCount="1">
    <brk id="4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81"/>
  <sheetViews>
    <sheetView showGridLines="0" showZeros="0" tabSelected="1" view="pageLayout" zoomScaleNormal="100" workbookViewId="0">
      <selection activeCell="G9" sqref="G9"/>
    </sheetView>
  </sheetViews>
  <sheetFormatPr defaultRowHeight="15"/>
  <cols>
    <col min="1" max="1" width="5.42578125" style="106" customWidth="1"/>
    <col min="2" max="2" width="39.85546875" style="106" customWidth="1"/>
    <col min="3" max="14" width="11.7109375" style="106" customWidth="1"/>
    <col min="15" max="15" width="9.140625" style="106"/>
    <col min="16" max="16" width="10.5703125" style="106" bestFit="1" customWidth="1"/>
    <col min="17" max="16384" width="9.140625" style="106"/>
  </cols>
  <sheetData>
    <row r="1" spans="1:18" ht="15.75" thickBo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8">
      <c r="A2" s="107" t="s">
        <v>81</v>
      </c>
      <c r="E2" s="107" t="s">
        <v>82</v>
      </c>
      <c r="K2" s="107" t="s">
        <v>83</v>
      </c>
    </row>
    <row r="3" spans="1:18">
      <c r="F3" s="107" t="s">
        <v>84</v>
      </c>
      <c r="K3" s="107" t="s">
        <v>275</v>
      </c>
    </row>
    <row r="4" spans="1:18">
      <c r="A4" s="107" t="s">
        <v>86</v>
      </c>
      <c r="F4" s="107" t="s">
        <v>87</v>
      </c>
      <c r="K4" s="107" t="s">
        <v>276</v>
      </c>
    </row>
    <row r="5" spans="1:18">
      <c r="B5" s="107" t="s">
        <v>89</v>
      </c>
      <c r="F5" s="107" t="s">
        <v>90</v>
      </c>
      <c r="K5" s="107" t="s">
        <v>277</v>
      </c>
    </row>
    <row r="6" spans="1:18">
      <c r="K6" s="107"/>
    </row>
    <row r="7" spans="1:18">
      <c r="A7" s="107" t="s">
        <v>93</v>
      </c>
      <c r="G7" s="107" t="s">
        <v>94</v>
      </c>
      <c r="K7" s="107" t="s">
        <v>95</v>
      </c>
    </row>
    <row r="8" spans="1:18" ht="15.75" thickBo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8">
      <c r="B9" s="108" t="s">
        <v>37</v>
      </c>
      <c r="C9" s="108" t="s">
        <v>96</v>
      </c>
      <c r="D9" s="108" t="s">
        <v>97</v>
      </c>
      <c r="E9" s="108" t="s">
        <v>98</v>
      </c>
      <c r="F9" s="108" t="s">
        <v>99</v>
      </c>
      <c r="G9" s="108" t="s">
        <v>100</v>
      </c>
      <c r="H9" s="108" t="s">
        <v>101</v>
      </c>
      <c r="I9" s="108" t="s">
        <v>102</v>
      </c>
      <c r="J9" s="108" t="s">
        <v>103</v>
      </c>
      <c r="K9" s="108" t="s">
        <v>104</v>
      </c>
      <c r="L9" s="108" t="s">
        <v>105</v>
      </c>
      <c r="M9" s="108" t="s">
        <v>106</v>
      </c>
      <c r="N9" s="108" t="s">
        <v>107</v>
      </c>
    </row>
    <row r="10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8" ht="102.75" thickBot="1">
      <c r="A11" s="110" t="s">
        <v>108</v>
      </c>
      <c r="B11" s="110" t="s">
        <v>109</v>
      </c>
      <c r="C11" s="110" t="s">
        <v>110</v>
      </c>
      <c r="D11" s="110" t="s">
        <v>111</v>
      </c>
      <c r="E11" s="110" t="s">
        <v>112</v>
      </c>
      <c r="F11" s="110" t="s">
        <v>113</v>
      </c>
      <c r="G11" s="110" t="s">
        <v>114</v>
      </c>
      <c r="H11" s="110" t="s">
        <v>115</v>
      </c>
      <c r="I11" s="110" t="s">
        <v>116</v>
      </c>
      <c r="J11" s="110" t="s">
        <v>117</v>
      </c>
      <c r="K11" s="110" t="s">
        <v>118</v>
      </c>
      <c r="L11" s="110" t="s">
        <v>119</v>
      </c>
      <c r="M11" s="110" t="s">
        <v>120</v>
      </c>
      <c r="N11" s="110" t="s">
        <v>121</v>
      </c>
    </row>
    <row r="12" spans="1:18">
      <c r="A12" s="111" t="s">
        <v>122</v>
      </c>
      <c r="B12" s="112" t="s">
        <v>123</v>
      </c>
      <c r="C12" s="113"/>
      <c r="D12" s="113"/>
      <c r="E12" s="113"/>
      <c r="F12" s="113"/>
      <c r="G12" s="113"/>
      <c r="H12" s="113"/>
      <c r="I12" s="113"/>
      <c r="J12" s="114"/>
      <c r="K12" s="113"/>
      <c r="L12" s="114"/>
      <c r="M12" s="113"/>
      <c r="N12" s="113"/>
    </row>
    <row r="13" spans="1:18">
      <c r="A13" s="111" t="s">
        <v>124</v>
      </c>
      <c r="B13" s="147">
        <v>4.1000000000000002E-2</v>
      </c>
      <c r="C13" s="116" t="s">
        <v>130</v>
      </c>
      <c r="D13" s="116" t="s">
        <v>131</v>
      </c>
      <c r="E13" s="114">
        <v>800000</v>
      </c>
      <c r="F13" s="117">
        <v>123076.92307692308</v>
      </c>
      <c r="G13" s="114">
        <v>0</v>
      </c>
      <c r="H13" s="114">
        <v>7000</v>
      </c>
      <c r="I13" s="118">
        <v>30</v>
      </c>
      <c r="J13" s="114">
        <v>29.798668593110715</v>
      </c>
      <c r="K13" s="146">
        <f>F13*B13</f>
        <v>5046.1538461538466</v>
      </c>
      <c r="L13" s="146">
        <f>J13+K13</f>
        <v>5075.9525147469576</v>
      </c>
      <c r="M13" s="114">
        <v>0</v>
      </c>
      <c r="N13" s="114">
        <v>1073.8342572578367</v>
      </c>
      <c r="P13" s="159"/>
      <c r="Q13" s="160"/>
      <c r="R13" s="161"/>
    </row>
    <row r="14" spans="1:18">
      <c r="A14" s="111" t="s">
        <v>128</v>
      </c>
      <c r="B14" s="147">
        <v>4.1000000000000002E-2</v>
      </c>
      <c r="C14" s="116" t="s">
        <v>133</v>
      </c>
      <c r="D14" s="116" t="s">
        <v>134</v>
      </c>
      <c r="E14" s="114">
        <v>500000</v>
      </c>
      <c r="F14" s="117">
        <v>384615.38461538462</v>
      </c>
      <c r="G14" s="114">
        <v>0</v>
      </c>
      <c r="H14" s="114">
        <v>4375</v>
      </c>
      <c r="I14" s="118">
        <v>30</v>
      </c>
      <c r="J14" s="114">
        <v>115.83757556116686</v>
      </c>
      <c r="K14" s="146">
        <f>F14*B14</f>
        <v>15769.23076923077</v>
      </c>
      <c r="L14" s="146">
        <f>J14+K14</f>
        <v>15885.068344791936</v>
      </c>
      <c r="M14" s="114">
        <v>0</v>
      </c>
      <c r="N14" s="114">
        <v>3318.342281742096</v>
      </c>
      <c r="P14" s="159"/>
      <c r="Q14" s="160"/>
      <c r="R14" s="164"/>
    </row>
    <row r="15" spans="1:18">
      <c r="A15" s="111" t="s">
        <v>132</v>
      </c>
      <c r="B15" s="115" t="s">
        <v>136</v>
      </c>
      <c r="C15" s="116" t="s">
        <v>137</v>
      </c>
      <c r="D15" s="116" t="s">
        <v>138</v>
      </c>
      <c r="E15" s="114">
        <v>500000</v>
      </c>
      <c r="F15" s="117">
        <v>500000</v>
      </c>
      <c r="G15" s="114">
        <v>1905</v>
      </c>
      <c r="H15" s="114">
        <v>5650</v>
      </c>
      <c r="I15" s="118">
        <v>10</v>
      </c>
      <c r="J15" s="114">
        <v>750.66930260869583</v>
      </c>
      <c r="K15" s="114">
        <v>13750.000000000002</v>
      </c>
      <c r="L15" s="114">
        <v>14500.669302608698</v>
      </c>
      <c r="M15" s="114">
        <v>1127.125</v>
      </c>
      <c r="N15" s="114">
        <v>3314.3350404347843</v>
      </c>
      <c r="P15" s="159"/>
      <c r="Q15" s="160"/>
      <c r="R15" s="161"/>
    </row>
    <row r="16" spans="1:18">
      <c r="A16" s="111" t="s">
        <v>135</v>
      </c>
      <c r="B16" s="115" t="s">
        <v>140</v>
      </c>
      <c r="C16" s="116" t="s">
        <v>141</v>
      </c>
      <c r="D16" s="116" t="s">
        <v>142</v>
      </c>
      <c r="E16" s="114">
        <v>500000</v>
      </c>
      <c r="F16" s="117">
        <v>418172</v>
      </c>
      <c r="G16" s="114">
        <v>6480</v>
      </c>
      <c r="H16" s="114">
        <v>2199.0569799999998</v>
      </c>
      <c r="I16" s="118">
        <v>31</v>
      </c>
      <c r="J16" s="114">
        <v>279.96969567567601</v>
      </c>
      <c r="K16" s="114">
        <v>23522.174999999999</v>
      </c>
      <c r="L16" s="114">
        <v>23802.144695675674</v>
      </c>
      <c r="M16" s="114">
        <v>3499.9784225675717</v>
      </c>
      <c r="N16" s="114">
        <v>1189.5139800000004</v>
      </c>
      <c r="P16" s="159"/>
      <c r="Q16" s="160"/>
      <c r="R16" s="161"/>
    </row>
    <row r="17" spans="1:18">
      <c r="A17" s="111" t="s">
        <v>139</v>
      </c>
      <c r="B17" s="115" t="s">
        <v>144</v>
      </c>
      <c r="C17" s="116" t="s">
        <v>145</v>
      </c>
      <c r="D17" s="116" t="s">
        <v>146</v>
      </c>
      <c r="E17" s="114">
        <v>300000</v>
      </c>
      <c r="F17" s="117">
        <v>229586</v>
      </c>
      <c r="G17" s="114">
        <v>4030</v>
      </c>
      <c r="H17" s="114">
        <v>1593.9194026842999</v>
      </c>
      <c r="I17" s="118">
        <v>30.083333333333332</v>
      </c>
      <c r="J17" s="114">
        <v>186.74760949999995</v>
      </c>
      <c r="K17" s="114">
        <v>12397.644000000002</v>
      </c>
      <c r="L17" s="114">
        <v>12584.391609500002</v>
      </c>
      <c r="M17" s="114">
        <v>2438.9455763749975</v>
      </c>
      <c r="N17" s="114">
        <v>969.19829700000037</v>
      </c>
      <c r="P17" s="159"/>
      <c r="Q17" s="160"/>
      <c r="R17" s="161"/>
    </row>
    <row r="18" spans="1:18">
      <c r="A18" s="111" t="s">
        <v>143</v>
      </c>
      <c r="B18" s="115" t="s">
        <v>148</v>
      </c>
      <c r="C18" s="116" t="s">
        <v>149</v>
      </c>
      <c r="D18" s="116" t="s">
        <v>150</v>
      </c>
      <c r="E18" s="114">
        <v>400000</v>
      </c>
      <c r="F18" s="117">
        <v>394991</v>
      </c>
      <c r="G18" s="114">
        <v>6364</v>
      </c>
      <c r="H18" s="114">
        <v>1996.1578276349001</v>
      </c>
      <c r="I18" s="118">
        <v>31.083333333333332</v>
      </c>
      <c r="J18" s="114">
        <v>268.95969937499996</v>
      </c>
      <c r="K18" s="114">
        <v>22316.9915</v>
      </c>
      <c r="L18" s="114">
        <v>22585.951199374998</v>
      </c>
      <c r="M18" s="114">
        <v>4010.1608781249988</v>
      </c>
      <c r="N18" s="114">
        <v>1256.9665679687489</v>
      </c>
      <c r="P18" s="159"/>
      <c r="Q18" s="160"/>
      <c r="R18" s="161"/>
    </row>
    <row r="19" spans="1:18">
      <c r="A19" s="111" t="s">
        <v>147</v>
      </c>
      <c r="B19" s="115" t="s">
        <v>152</v>
      </c>
      <c r="C19" s="116" t="s">
        <v>153</v>
      </c>
      <c r="D19" s="116" t="s">
        <v>154</v>
      </c>
      <c r="E19" s="114">
        <v>300000</v>
      </c>
      <c r="F19" s="117">
        <v>219161</v>
      </c>
      <c r="G19" s="114">
        <v>2693</v>
      </c>
      <c r="H19" s="114">
        <v>1738.1988999999999</v>
      </c>
      <c r="I19" s="118">
        <v>30</v>
      </c>
      <c r="J19" s="114">
        <v>148.14823983772823</v>
      </c>
      <c r="K19" s="114">
        <v>13587.982000000002</v>
      </c>
      <c r="L19" s="114">
        <v>13736.13023983773</v>
      </c>
      <c r="M19" s="114">
        <v>1692.1411686815431</v>
      </c>
      <c r="N19" s="114">
        <v>1091.8111716024339</v>
      </c>
      <c r="P19" s="159"/>
      <c r="Q19" s="160"/>
      <c r="R19" s="161"/>
    </row>
    <row r="20" spans="1:18">
      <c r="A20" s="111" t="s">
        <v>151</v>
      </c>
      <c r="B20" s="115" t="s">
        <v>156</v>
      </c>
      <c r="C20" s="116" t="s">
        <v>157</v>
      </c>
      <c r="D20" s="116" t="s">
        <v>158</v>
      </c>
      <c r="E20" s="114">
        <v>300000</v>
      </c>
      <c r="F20" s="117">
        <v>300000</v>
      </c>
      <c r="G20" s="114">
        <v>4893</v>
      </c>
      <c r="H20" s="114">
        <v>1634.9651999999999</v>
      </c>
      <c r="I20" s="118">
        <v>30</v>
      </c>
      <c r="J20" s="114">
        <v>217.59881898305076</v>
      </c>
      <c r="K20" s="114">
        <v>14850</v>
      </c>
      <c r="L20" s="114">
        <v>15067.59881898305</v>
      </c>
      <c r="M20" s="114">
        <v>2922.2079567796586</v>
      </c>
      <c r="N20" s="114">
        <v>976.43755000000067</v>
      </c>
      <c r="P20" s="159"/>
      <c r="Q20" s="160"/>
      <c r="R20" s="161"/>
    </row>
    <row r="21" spans="1:18">
      <c r="A21" s="111" t="s">
        <v>155</v>
      </c>
      <c r="B21" s="115" t="s">
        <v>160</v>
      </c>
      <c r="C21" s="116" t="s">
        <v>161</v>
      </c>
      <c r="D21" s="116" t="s">
        <v>162</v>
      </c>
      <c r="E21" s="114">
        <v>200000</v>
      </c>
      <c r="F21" s="117">
        <v>170695</v>
      </c>
      <c r="G21" s="114">
        <v>2212</v>
      </c>
      <c r="H21" s="114">
        <v>910.97675841360001</v>
      </c>
      <c r="I21" s="118">
        <v>30.166666666666668</v>
      </c>
      <c r="J21" s="114">
        <v>103.52415288461536</v>
      </c>
      <c r="K21" s="114">
        <v>9985.6574999999993</v>
      </c>
      <c r="L21" s="114">
        <v>10089.181652884616</v>
      </c>
      <c r="M21" s="114">
        <v>1142.5349824519235</v>
      </c>
      <c r="N21" s="114">
        <v>470.71639999999968</v>
      </c>
      <c r="P21" s="159"/>
      <c r="Q21" s="160"/>
      <c r="R21" s="161"/>
    </row>
    <row r="22" spans="1:18">
      <c r="A22" s="111" t="s">
        <v>159</v>
      </c>
      <c r="B22" s="115" t="s">
        <v>160</v>
      </c>
      <c r="C22" s="116" t="s">
        <v>164</v>
      </c>
      <c r="D22" s="116" t="s">
        <v>165</v>
      </c>
      <c r="E22" s="114">
        <v>300000</v>
      </c>
      <c r="F22" s="117">
        <v>230521</v>
      </c>
      <c r="G22" s="114">
        <v>600</v>
      </c>
      <c r="H22" s="114">
        <v>4097.3441145185998</v>
      </c>
      <c r="I22" s="118">
        <v>30.083333333333332</v>
      </c>
      <c r="J22" s="114">
        <v>156.35639722007733</v>
      </c>
      <c r="K22" s="114">
        <v>13485.478499999999</v>
      </c>
      <c r="L22" s="114">
        <v>13641.834897220077</v>
      </c>
      <c r="M22" s="114">
        <v>395.56784486486453</v>
      </c>
      <c r="N22" s="114">
        <v>2705.5007000000019</v>
      </c>
      <c r="P22" s="159"/>
      <c r="Q22" s="160"/>
      <c r="R22" s="161"/>
    </row>
    <row r="23" spans="1:18">
      <c r="A23" s="111" t="s">
        <v>163</v>
      </c>
      <c r="B23" s="115" t="s">
        <v>278</v>
      </c>
      <c r="C23" s="116" t="s">
        <v>279</v>
      </c>
      <c r="D23" s="116" t="s">
        <v>130</v>
      </c>
      <c r="E23" s="114">
        <v>300000</v>
      </c>
      <c r="F23" s="117">
        <v>253846.15384615384</v>
      </c>
      <c r="G23" s="114">
        <v>84</v>
      </c>
      <c r="H23" s="114">
        <v>3523.7678806824001</v>
      </c>
      <c r="I23" s="118">
        <v>10.083333333333334</v>
      </c>
      <c r="J23" s="114">
        <v>298.72915199999989</v>
      </c>
      <c r="K23" s="114">
        <v>13875</v>
      </c>
      <c r="L23" s="114">
        <v>14173.729152</v>
      </c>
      <c r="M23" s="114">
        <v>2.9371421538461555</v>
      </c>
      <c r="N23" s="114">
        <v>123.44826830769227</v>
      </c>
      <c r="P23" s="159"/>
      <c r="Q23" s="160"/>
      <c r="R23" s="161"/>
    </row>
    <row r="24" spans="1:18">
      <c r="A24" s="111" t="s">
        <v>166</v>
      </c>
      <c r="B24" s="115" t="s">
        <v>167</v>
      </c>
      <c r="C24" s="116" t="s">
        <v>168</v>
      </c>
      <c r="D24" s="116" t="s">
        <v>169</v>
      </c>
      <c r="E24" s="114">
        <v>600000</v>
      </c>
      <c r="F24" s="117">
        <v>600000</v>
      </c>
      <c r="G24" s="114">
        <v>3260</v>
      </c>
      <c r="H24" s="114">
        <v>7838.8020777156999</v>
      </c>
      <c r="I24" s="118">
        <v>30.083333333333332</v>
      </c>
      <c r="J24" s="114">
        <v>369.3480201492535</v>
      </c>
      <c r="K24" s="114">
        <v>35700</v>
      </c>
      <c r="L24" s="114">
        <v>36069.348020149257</v>
      </c>
      <c r="M24" s="114">
        <v>2233.2632647388045</v>
      </c>
      <c r="N24" s="114">
        <v>5369.1501499999958</v>
      </c>
      <c r="P24" s="159"/>
      <c r="Q24" s="160"/>
      <c r="R24" s="161"/>
    </row>
    <row r="25" spans="1:18">
      <c r="A25" s="111" t="s">
        <v>170</v>
      </c>
      <c r="B25" s="115" t="s">
        <v>171</v>
      </c>
      <c r="C25" s="116" t="s">
        <v>172</v>
      </c>
      <c r="D25" s="116" t="s">
        <v>173</v>
      </c>
      <c r="E25" s="114">
        <v>500000</v>
      </c>
      <c r="F25" s="117">
        <v>500000</v>
      </c>
      <c r="G25" s="114">
        <v>499.63499999999999</v>
      </c>
      <c r="H25" s="114">
        <v>6256.2488130922002</v>
      </c>
      <c r="I25" s="118">
        <v>30.083333333333332</v>
      </c>
      <c r="J25" s="114">
        <v>232.65432468085072</v>
      </c>
      <c r="K25" s="114">
        <v>29799.999999999996</v>
      </c>
      <c r="L25" s="114">
        <v>30032.654324680847</v>
      </c>
      <c r="M25" s="114">
        <v>263.89198180851076</v>
      </c>
      <c r="N25" s="114">
        <v>4796.3395799999944</v>
      </c>
      <c r="P25" s="159"/>
      <c r="Q25" s="160"/>
      <c r="R25" s="161"/>
    </row>
    <row r="26" spans="1:18">
      <c r="A26" s="111" t="s">
        <v>174</v>
      </c>
      <c r="B26" s="115" t="s">
        <v>175</v>
      </c>
      <c r="C26" s="116" t="s">
        <v>176</v>
      </c>
      <c r="D26" s="116" t="s">
        <v>177</v>
      </c>
      <c r="E26" s="114">
        <v>400000</v>
      </c>
      <c r="F26" s="117">
        <v>400000</v>
      </c>
      <c r="G26" s="114">
        <v>989</v>
      </c>
      <c r="H26" s="114">
        <v>5408.2598802127995</v>
      </c>
      <c r="I26" s="118">
        <v>30.166666666666668</v>
      </c>
      <c r="J26" s="114">
        <v>205.95012000000011</v>
      </c>
      <c r="K26" s="114">
        <v>20999.999999999996</v>
      </c>
      <c r="L26" s="114">
        <v>21205.950119999998</v>
      </c>
      <c r="M26" s="114">
        <v>775.51339000000087</v>
      </c>
      <c r="N26" s="114">
        <v>4081.4769400000009</v>
      </c>
      <c r="P26" s="159"/>
      <c r="Q26" s="160"/>
      <c r="R26" s="161"/>
    </row>
    <row r="27" spans="1:18">
      <c r="A27" s="111" t="s">
        <v>178</v>
      </c>
      <c r="B27" s="115" t="s">
        <v>179</v>
      </c>
      <c r="C27" s="116" t="s">
        <v>180</v>
      </c>
      <c r="D27" s="116" t="s">
        <v>181</v>
      </c>
      <c r="E27" s="114">
        <v>500000</v>
      </c>
      <c r="F27" s="117">
        <v>500000</v>
      </c>
      <c r="G27" s="114">
        <v>670</v>
      </c>
      <c r="H27" s="114">
        <v>6890</v>
      </c>
      <c r="I27" s="118">
        <v>30</v>
      </c>
      <c r="J27" s="114">
        <v>252.3468660512824</v>
      </c>
      <c r="K27" s="114">
        <v>28450.000000000015</v>
      </c>
      <c r="L27" s="114">
        <v>28702.346866051299</v>
      </c>
      <c r="M27" s="114">
        <v>504.75449579487139</v>
      </c>
      <c r="N27" s="114">
        <v>5204.5933486153926</v>
      </c>
      <c r="P27" s="159"/>
      <c r="Q27" s="160"/>
      <c r="R27" s="161"/>
    </row>
    <row r="28" spans="1:18">
      <c r="A28" s="111" t="s">
        <v>182</v>
      </c>
      <c r="B28" s="115" t="s">
        <v>183</v>
      </c>
      <c r="C28" s="116" t="s">
        <v>184</v>
      </c>
      <c r="D28" s="116" t="s">
        <v>185</v>
      </c>
      <c r="E28" s="114">
        <v>250000</v>
      </c>
      <c r="F28" s="117">
        <v>250000</v>
      </c>
      <c r="G28" s="114">
        <v>225</v>
      </c>
      <c r="H28" s="114">
        <v>3488</v>
      </c>
      <c r="I28" s="118">
        <v>30</v>
      </c>
      <c r="J28" s="114">
        <v>117.97319999999991</v>
      </c>
      <c r="K28" s="114">
        <v>12812.500000000002</v>
      </c>
      <c r="L28" s="114">
        <v>12930.4732</v>
      </c>
      <c r="M28" s="114">
        <v>179.375</v>
      </c>
      <c r="N28" s="114">
        <v>2642.1506999999979</v>
      </c>
      <c r="P28" s="159"/>
      <c r="Q28" s="160"/>
      <c r="R28" s="161"/>
    </row>
    <row r="29" spans="1:18">
      <c r="A29" s="111" t="s">
        <v>186</v>
      </c>
      <c r="B29" s="115" t="s">
        <v>148</v>
      </c>
      <c r="C29" s="116" t="s">
        <v>187</v>
      </c>
      <c r="D29" s="116" t="s">
        <v>188</v>
      </c>
      <c r="E29" s="114">
        <v>240000</v>
      </c>
      <c r="F29" s="117">
        <v>204431</v>
      </c>
      <c r="G29" s="114">
        <v>2775</v>
      </c>
      <c r="H29" s="114">
        <v>1260.4268872463999</v>
      </c>
      <c r="I29" s="118">
        <v>31.083333333333332</v>
      </c>
      <c r="J29" s="114">
        <v>129.82613172413787</v>
      </c>
      <c r="K29" s="114">
        <v>11550.351500000001</v>
      </c>
      <c r="L29" s="114">
        <v>11680.177631724138</v>
      </c>
      <c r="M29" s="114">
        <v>1566.8447094827582</v>
      </c>
      <c r="N29" s="114">
        <v>715.93143999999938</v>
      </c>
      <c r="P29" s="159"/>
      <c r="Q29" s="160"/>
      <c r="R29" s="161"/>
    </row>
    <row r="30" spans="1:18">
      <c r="A30" s="111" t="s">
        <v>189</v>
      </c>
      <c r="B30" s="115" t="s">
        <v>167</v>
      </c>
      <c r="C30" s="116" t="s">
        <v>190</v>
      </c>
      <c r="D30" s="116" t="s">
        <v>191</v>
      </c>
      <c r="E30" s="114">
        <v>300000</v>
      </c>
      <c r="F30" s="117">
        <v>272444</v>
      </c>
      <c r="G30" s="114">
        <v>5802</v>
      </c>
      <c r="H30" s="114">
        <v>1526.6618999999998</v>
      </c>
      <c r="I30" s="118">
        <v>30</v>
      </c>
      <c r="J30" s="114">
        <v>244.28873333333365</v>
      </c>
      <c r="K30" s="114">
        <v>16210.417999999998</v>
      </c>
      <c r="L30" s="114">
        <v>16454.706733333333</v>
      </c>
      <c r="M30" s="114">
        <v>3142.74956666667</v>
      </c>
      <c r="N30" s="114">
        <v>826.94235000000037</v>
      </c>
      <c r="P30" s="159"/>
      <c r="Q30" s="160"/>
      <c r="R30" s="161"/>
    </row>
    <row r="31" spans="1:18">
      <c r="A31" s="111" t="s">
        <v>192</v>
      </c>
      <c r="B31" s="115" t="s">
        <v>193</v>
      </c>
      <c r="C31" s="116" t="s">
        <v>194</v>
      </c>
      <c r="D31" s="116" t="s">
        <v>195</v>
      </c>
      <c r="E31" s="114">
        <v>600000</v>
      </c>
      <c r="F31" s="117">
        <v>600000</v>
      </c>
      <c r="G31" s="114">
        <v>1482</v>
      </c>
      <c r="H31" s="114">
        <v>8250</v>
      </c>
      <c r="I31" s="118">
        <v>30.166666666666668</v>
      </c>
      <c r="J31" s="114">
        <v>318.52271810126609</v>
      </c>
      <c r="K31" s="114">
        <v>24750</v>
      </c>
      <c r="L31" s="114">
        <v>25068.522718101267</v>
      </c>
      <c r="M31" s="114">
        <v>1207.7063533227843</v>
      </c>
      <c r="N31" s="114">
        <v>6622.6438000000071</v>
      </c>
      <c r="P31" s="159"/>
      <c r="Q31" s="160"/>
      <c r="R31" s="161"/>
    </row>
    <row r="32" spans="1:18">
      <c r="A32" s="111" t="s">
        <v>196</v>
      </c>
      <c r="B32" s="115" t="s">
        <v>197</v>
      </c>
      <c r="C32" s="116" t="s">
        <v>198</v>
      </c>
      <c r="D32" s="116" t="s">
        <v>199</v>
      </c>
      <c r="E32" s="114">
        <v>400000</v>
      </c>
      <c r="F32" s="117">
        <v>400000</v>
      </c>
      <c r="G32" s="114">
        <v>1984</v>
      </c>
      <c r="H32" s="114">
        <v>5700</v>
      </c>
      <c r="I32" s="118">
        <v>30</v>
      </c>
      <c r="J32" s="114">
        <v>240.9678384073504</v>
      </c>
      <c r="K32" s="114">
        <v>15199.999999999998</v>
      </c>
      <c r="L32" s="114">
        <v>15440.967838407349</v>
      </c>
      <c r="M32" s="114">
        <v>1683.6441003215912</v>
      </c>
      <c r="N32" s="114">
        <v>4450.9954524655395</v>
      </c>
      <c r="P32" s="159"/>
      <c r="Q32" s="160"/>
      <c r="R32" s="161"/>
    </row>
    <row r="33" spans="1:18">
      <c r="A33" s="111" t="s">
        <v>200</v>
      </c>
      <c r="B33" s="115" t="s">
        <v>201</v>
      </c>
      <c r="C33" s="116" t="s">
        <v>202</v>
      </c>
      <c r="D33" s="116" t="s">
        <v>203</v>
      </c>
      <c r="E33" s="114">
        <v>600000</v>
      </c>
      <c r="F33" s="117">
        <v>600000</v>
      </c>
      <c r="G33" s="114">
        <v>840</v>
      </c>
      <c r="H33" s="114">
        <v>8150</v>
      </c>
      <c r="I33" s="118">
        <v>30.083333333333332</v>
      </c>
      <c r="J33" s="114">
        <v>290.27771999999965</v>
      </c>
      <c r="K33" s="114">
        <v>24300</v>
      </c>
      <c r="L33" s="114">
        <v>24590.277719999998</v>
      </c>
      <c r="M33" s="114">
        <v>695.73413000000016</v>
      </c>
      <c r="N33" s="114">
        <v>6537.0190599999914</v>
      </c>
      <c r="P33" s="159"/>
      <c r="Q33" s="160"/>
      <c r="R33" s="161"/>
    </row>
    <row r="34" spans="1:18">
      <c r="A34" s="111" t="s">
        <v>204</v>
      </c>
      <c r="B34" s="115" t="s">
        <v>201</v>
      </c>
      <c r="C34" s="116" t="s">
        <v>205</v>
      </c>
      <c r="D34" s="116" t="s">
        <v>206</v>
      </c>
      <c r="E34" s="114">
        <v>500000</v>
      </c>
      <c r="F34" s="117">
        <v>500000</v>
      </c>
      <c r="G34" s="114">
        <v>1650</v>
      </c>
      <c r="H34" s="114">
        <v>6775</v>
      </c>
      <c r="I34" s="118">
        <v>30.083333333333332</v>
      </c>
      <c r="J34" s="114">
        <v>277.57019604017205</v>
      </c>
      <c r="K34" s="114">
        <v>20250</v>
      </c>
      <c r="L34" s="114">
        <v>20527.570196040171</v>
      </c>
      <c r="M34" s="114">
        <v>1494.7360120516503</v>
      </c>
      <c r="N34" s="114">
        <v>6080.6172548780432</v>
      </c>
      <c r="P34" s="159"/>
      <c r="Q34" s="160"/>
      <c r="R34" s="161"/>
    </row>
    <row r="35" spans="1:18">
      <c r="A35" s="111" t="s">
        <v>207</v>
      </c>
      <c r="B35" s="115" t="s">
        <v>208</v>
      </c>
      <c r="C35" s="116" t="s">
        <v>209</v>
      </c>
      <c r="D35" s="116" t="s">
        <v>210</v>
      </c>
      <c r="E35" s="114">
        <v>500000</v>
      </c>
      <c r="F35" s="117">
        <v>500000</v>
      </c>
      <c r="G35" s="114">
        <v>645</v>
      </c>
      <c r="H35" s="114">
        <v>5650</v>
      </c>
      <c r="I35" s="118">
        <v>10.083333333333334</v>
      </c>
      <c r="J35" s="114">
        <v>643.48515807692274</v>
      </c>
      <c r="K35" s="114">
        <v>16249.999999999998</v>
      </c>
      <c r="L35" s="114">
        <v>16893.485158076921</v>
      </c>
      <c r="M35" s="114">
        <v>442.43813999999992</v>
      </c>
      <c r="N35" s="114">
        <v>4008.3342033653807</v>
      </c>
      <c r="P35" s="159"/>
      <c r="Q35" s="160"/>
      <c r="R35" s="161"/>
    </row>
    <row r="36" spans="1:18">
      <c r="A36" s="111" t="s">
        <v>211</v>
      </c>
      <c r="B36" s="115" t="s">
        <v>212</v>
      </c>
      <c r="C36" s="116" t="s">
        <v>213</v>
      </c>
      <c r="D36" s="116" t="s">
        <v>214</v>
      </c>
      <c r="E36" s="114">
        <v>600000</v>
      </c>
      <c r="F36" s="117">
        <v>600000</v>
      </c>
      <c r="G36" s="114">
        <v>0</v>
      </c>
      <c r="H36" s="114">
        <v>6600</v>
      </c>
      <c r="I36" s="118">
        <v>10</v>
      </c>
      <c r="J36" s="114">
        <v>524.8632788763698</v>
      </c>
      <c r="K36" s="114">
        <v>18000</v>
      </c>
      <c r="L36" s="114">
        <v>18524.863278876372</v>
      </c>
      <c r="M36" s="114">
        <v>0</v>
      </c>
      <c r="N36" s="114">
        <v>4395.7299605895969</v>
      </c>
      <c r="P36" s="159"/>
      <c r="Q36" s="160"/>
      <c r="R36" s="161"/>
    </row>
    <row r="37" spans="1:18">
      <c r="A37" s="111" t="s">
        <v>215</v>
      </c>
      <c r="B37" s="115" t="s">
        <v>216</v>
      </c>
      <c r="C37" s="116" t="s">
        <v>217</v>
      </c>
      <c r="D37" s="116" t="s">
        <v>218</v>
      </c>
      <c r="E37" s="114">
        <v>300000</v>
      </c>
      <c r="F37" s="117">
        <v>300000</v>
      </c>
      <c r="G37" s="114">
        <v>0</v>
      </c>
      <c r="H37" s="114">
        <v>2625</v>
      </c>
      <c r="I37" s="118">
        <v>30</v>
      </c>
      <c r="J37" s="114">
        <v>87.492066921425305</v>
      </c>
      <c r="K37" s="114">
        <v>15690.000000000002</v>
      </c>
      <c r="L37" s="114">
        <v>15777.492066921428</v>
      </c>
      <c r="M37" s="114">
        <v>0</v>
      </c>
      <c r="N37" s="114">
        <v>2511.7514212025844</v>
      </c>
      <c r="P37" s="159"/>
      <c r="Q37" s="160"/>
      <c r="R37" s="161"/>
    </row>
    <row r="38" spans="1:18">
      <c r="A38" s="111" t="s">
        <v>219</v>
      </c>
      <c r="P38" s="165"/>
      <c r="Q38" s="161"/>
      <c r="R38" s="161"/>
    </row>
    <row r="39" spans="1:18">
      <c r="A39" s="111" t="s">
        <v>223</v>
      </c>
      <c r="B39" s="112" t="s">
        <v>225</v>
      </c>
      <c r="C39" s="113"/>
      <c r="D39" s="113"/>
      <c r="E39" s="113"/>
      <c r="F39" s="113"/>
      <c r="G39" s="113"/>
      <c r="H39" s="113"/>
      <c r="I39" s="113"/>
      <c r="J39" s="114"/>
      <c r="K39" s="113"/>
      <c r="L39" s="114"/>
      <c r="M39" s="113"/>
      <c r="N39" s="113"/>
      <c r="P39" s="165"/>
      <c r="Q39" s="161"/>
      <c r="R39" s="161"/>
    </row>
    <row r="40" spans="1:18">
      <c r="A40" s="111" t="s">
        <v>224</v>
      </c>
      <c r="B40" s="115" t="s">
        <v>227</v>
      </c>
      <c r="C40" s="116" t="s">
        <v>228</v>
      </c>
      <c r="D40" s="116" t="s">
        <v>229</v>
      </c>
      <c r="E40" s="114">
        <v>288000</v>
      </c>
      <c r="F40" s="117">
        <v>168957.30515384616</v>
      </c>
      <c r="G40" s="114">
        <v>96</v>
      </c>
      <c r="H40" s="114">
        <v>3334</v>
      </c>
      <c r="I40" s="118">
        <v>12.25</v>
      </c>
      <c r="J40" s="114">
        <v>279.98712000000006</v>
      </c>
      <c r="K40" s="114">
        <v>8901.044385981706</v>
      </c>
      <c r="L40" s="114">
        <v>9181.0315059817058</v>
      </c>
      <c r="M40" s="114">
        <v>8.2782500000000034</v>
      </c>
      <c r="N40" s="114">
        <v>575.02824999999984</v>
      </c>
      <c r="P40" s="165"/>
      <c r="Q40" s="161"/>
      <c r="R40" s="161"/>
    </row>
    <row r="41" spans="1:18">
      <c r="A41" s="111" t="s">
        <v>226</v>
      </c>
      <c r="P41" s="165"/>
      <c r="Q41" s="161"/>
      <c r="R41" s="161"/>
    </row>
    <row r="42" spans="1:18">
      <c r="A42" s="111"/>
      <c r="P42" s="165"/>
      <c r="Q42" s="161"/>
      <c r="R42" s="161"/>
    </row>
    <row r="43" spans="1:18" ht="15.75" thickBo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P43" s="165"/>
      <c r="Q43" s="161"/>
      <c r="R43" s="161"/>
    </row>
    <row r="44" spans="1:18">
      <c r="A44" s="109"/>
      <c r="B44" s="119" t="s">
        <v>280</v>
      </c>
      <c r="C44" s="109"/>
      <c r="D44" s="109"/>
      <c r="E44" s="109"/>
      <c r="F44" s="109"/>
      <c r="G44" s="109"/>
      <c r="H44" s="109"/>
      <c r="I44" s="109"/>
      <c r="J44" s="109"/>
      <c r="K44" s="119" t="s">
        <v>231</v>
      </c>
      <c r="L44" s="109"/>
      <c r="M44" s="109"/>
      <c r="N44" s="109"/>
      <c r="P44" s="165"/>
      <c r="Q44" s="161"/>
      <c r="R44" s="161"/>
    </row>
    <row r="45" spans="1:18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P45" s="165"/>
      <c r="Q45" s="161"/>
      <c r="R45" s="161"/>
    </row>
    <row r="46" spans="1:18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P46" s="165"/>
      <c r="Q46" s="161"/>
      <c r="R46" s="161"/>
    </row>
    <row r="47" spans="1:18">
      <c r="A47" s="111" t="s">
        <v>122</v>
      </c>
      <c r="B47" s="112" t="s">
        <v>232</v>
      </c>
      <c r="C47" s="113"/>
      <c r="D47" s="113"/>
      <c r="E47" s="113"/>
      <c r="F47" s="113"/>
      <c r="G47" s="113"/>
      <c r="H47" s="113"/>
      <c r="I47" s="113"/>
      <c r="J47" s="114"/>
      <c r="K47" s="113"/>
      <c r="L47" s="114"/>
      <c r="M47" s="113"/>
      <c r="N47" s="113"/>
      <c r="P47" s="165"/>
      <c r="Q47" s="161"/>
      <c r="R47" s="161"/>
    </row>
    <row r="48" spans="1:18">
      <c r="A48" s="111" t="s">
        <v>124</v>
      </c>
      <c r="B48" s="115" t="s">
        <v>233</v>
      </c>
      <c r="C48" s="116" t="s">
        <v>213</v>
      </c>
      <c r="D48" s="116" t="s">
        <v>126</v>
      </c>
      <c r="E48" s="114">
        <v>600000</v>
      </c>
      <c r="F48" s="117">
        <v>600000</v>
      </c>
      <c r="G48" s="114">
        <v>0</v>
      </c>
      <c r="H48" s="114">
        <v>32</v>
      </c>
      <c r="I48" s="118">
        <v>3</v>
      </c>
      <c r="J48" s="114">
        <v>999.2668338799914</v>
      </c>
      <c r="K48" s="114">
        <v>6882.2</v>
      </c>
      <c r="L48" s="114">
        <v>7881.4668338799911</v>
      </c>
      <c r="M48" s="114">
        <v>0</v>
      </c>
      <c r="N48" s="114">
        <v>14.222</v>
      </c>
      <c r="P48" s="165"/>
      <c r="Q48" s="161"/>
      <c r="R48" s="161"/>
    </row>
    <row r="49" spans="1:18">
      <c r="A49" s="111" t="s">
        <v>128</v>
      </c>
      <c r="P49" s="165"/>
      <c r="Q49" s="161"/>
      <c r="R49" s="161"/>
    </row>
    <row r="50" spans="1:18">
      <c r="A50" s="111" t="s">
        <v>132</v>
      </c>
      <c r="B50" s="112" t="s">
        <v>234</v>
      </c>
      <c r="C50" s="113"/>
      <c r="D50" s="113"/>
      <c r="E50" s="113"/>
      <c r="F50" s="113"/>
      <c r="G50" s="113"/>
      <c r="H50" s="113"/>
      <c r="I50" s="113"/>
      <c r="J50" s="114"/>
      <c r="K50" s="113"/>
      <c r="L50" s="114"/>
      <c r="M50" s="113"/>
      <c r="N50" s="113"/>
      <c r="P50" s="165"/>
      <c r="Q50" s="161"/>
      <c r="R50" s="161"/>
    </row>
    <row r="51" spans="1:18">
      <c r="A51" s="111" t="s">
        <v>135</v>
      </c>
      <c r="B51" s="115" t="s">
        <v>235</v>
      </c>
      <c r="C51" s="116" t="s">
        <v>236</v>
      </c>
      <c r="D51" s="116" t="s">
        <v>237</v>
      </c>
      <c r="E51" s="114">
        <v>85000</v>
      </c>
      <c r="F51" s="117">
        <v>85000</v>
      </c>
      <c r="G51" s="114">
        <v>0</v>
      </c>
      <c r="H51" s="114">
        <v>720</v>
      </c>
      <c r="I51" s="118">
        <v>30</v>
      </c>
      <c r="J51" s="114">
        <v>16.482394382022481</v>
      </c>
      <c r="K51" s="114">
        <v>974.97833333333335</v>
      </c>
      <c r="L51" s="114">
        <v>991.4607277153558</v>
      </c>
      <c r="M51" s="114">
        <v>0</v>
      </c>
      <c r="N51" s="114">
        <v>596</v>
      </c>
      <c r="P51" s="165"/>
      <c r="Q51" s="161"/>
      <c r="R51" s="161"/>
    </row>
    <row r="52" spans="1:18">
      <c r="A52" s="111" t="s">
        <v>139</v>
      </c>
      <c r="B52" s="115" t="s">
        <v>238</v>
      </c>
      <c r="C52" s="116" t="s">
        <v>239</v>
      </c>
      <c r="D52" s="116" t="s">
        <v>240</v>
      </c>
      <c r="E52" s="114">
        <v>15000</v>
      </c>
      <c r="F52" s="117">
        <v>15000</v>
      </c>
      <c r="G52" s="114">
        <v>0</v>
      </c>
      <c r="H52" s="114">
        <v>520</v>
      </c>
      <c r="I52" s="118">
        <v>31.5</v>
      </c>
      <c r="J52" s="114">
        <v>16.501559999999984</v>
      </c>
      <c r="K52" s="114">
        <v>183.30500000000001</v>
      </c>
      <c r="L52" s="114">
        <v>199.80655999999999</v>
      </c>
      <c r="M52" s="114">
        <v>0</v>
      </c>
      <c r="N52" s="114">
        <v>92.133709999999908</v>
      </c>
      <c r="P52" s="144"/>
    </row>
    <row r="53" spans="1:18">
      <c r="A53" s="111" t="s">
        <v>143</v>
      </c>
      <c r="B53" s="115" t="s">
        <v>238</v>
      </c>
      <c r="C53" s="116" t="s">
        <v>241</v>
      </c>
      <c r="D53" s="116" t="s">
        <v>242</v>
      </c>
      <c r="E53" s="114">
        <v>45750</v>
      </c>
      <c r="F53" s="117">
        <v>45750</v>
      </c>
      <c r="G53" s="114">
        <v>0</v>
      </c>
      <c r="H53" s="114">
        <v>711</v>
      </c>
      <c r="I53" s="118">
        <v>27.5</v>
      </c>
      <c r="J53" s="114">
        <v>25.844039999999978</v>
      </c>
      <c r="K53" s="114">
        <v>570.44446232876703</v>
      </c>
      <c r="L53" s="114">
        <v>596.28850232876698</v>
      </c>
      <c r="M53" s="114">
        <v>0</v>
      </c>
      <c r="N53" s="114">
        <v>101.22248999999994</v>
      </c>
      <c r="P53" s="144"/>
    </row>
    <row r="54" spans="1:18">
      <c r="A54" s="111" t="s">
        <v>147</v>
      </c>
      <c r="B54" s="115" t="s">
        <v>243</v>
      </c>
      <c r="C54" s="116" t="s">
        <v>244</v>
      </c>
      <c r="D54" s="116" t="s">
        <v>245</v>
      </c>
      <c r="E54" s="114">
        <v>45960</v>
      </c>
      <c r="F54" s="117">
        <v>45960</v>
      </c>
      <c r="G54" s="114">
        <v>0</v>
      </c>
      <c r="H54" s="114">
        <v>397</v>
      </c>
      <c r="I54" s="118">
        <v>30.5</v>
      </c>
      <c r="J54" s="114">
        <v>13.006567850467276</v>
      </c>
      <c r="K54" s="114">
        <v>573.06289592634187</v>
      </c>
      <c r="L54" s="114">
        <v>586.06946377680913</v>
      </c>
      <c r="M54" s="114">
        <v>0</v>
      </c>
      <c r="N54" s="114">
        <v>93.213736261682129</v>
      </c>
      <c r="P54" s="144"/>
    </row>
    <row r="55" spans="1:18">
      <c r="A55" s="111" t="s">
        <v>151</v>
      </c>
      <c r="B55" s="115" t="s">
        <v>246</v>
      </c>
      <c r="C55" s="116" t="s">
        <v>244</v>
      </c>
      <c r="D55" s="116" t="s">
        <v>245</v>
      </c>
      <c r="E55" s="114">
        <v>16510</v>
      </c>
      <c r="F55" s="117">
        <v>16510</v>
      </c>
      <c r="G55" s="114">
        <v>0</v>
      </c>
      <c r="H55" s="114">
        <v>132</v>
      </c>
      <c r="I55" s="118">
        <v>30.5</v>
      </c>
      <c r="J55" s="114">
        <v>4.3203600000000026</v>
      </c>
      <c r="K55" s="114">
        <v>205.85875569503705</v>
      </c>
      <c r="L55" s="114">
        <v>210.17911569503707</v>
      </c>
      <c r="M55" s="114">
        <v>0</v>
      </c>
      <c r="N55" s="114">
        <v>30.962580000000024</v>
      </c>
      <c r="P55" s="144"/>
    </row>
    <row r="56" spans="1:18">
      <c r="A56" s="111" t="s">
        <v>155</v>
      </c>
      <c r="B56" s="115" t="s">
        <v>247</v>
      </c>
      <c r="C56" s="116" t="s">
        <v>244</v>
      </c>
      <c r="D56" s="116" t="s">
        <v>245</v>
      </c>
      <c r="E56" s="114">
        <v>4480</v>
      </c>
      <c r="F56" s="117">
        <v>4480</v>
      </c>
      <c r="G56" s="114">
        <v>0</v>
      </c>
      <c r="H56" s="114">
        <v>83</v>
      </c>
      <c r="I56" s="118">
        <v>30.5</v>
      </c>
      <c r="J56" s="114">
        <v>2.71692</v>
      </c>
      <c r="K56" s="114">
        <v>55.859916748259607</v>
      </c>
      <c r="L56" s="114">
        <v>58.576836748259609</v>
      </c>
      <c r="M56" s="114">
        <v>0</v>
      </c>
      <c r="N56" s="114">
        <v>19.471260000000001</v>
      </c>
      <c r="P56" s="144"/>
    </row>
    <row r="57" spans="1:18">
      <c r="A57" s="111" t="s">
        <v>159</v>
      </c>
      <c r="B57" s="115" t="s">
        <v>243</v>
      </c>
      <c r="C57" s="116" t="s">
        <v>248</v>
      </c>
      <c r="D57" s="116" t="s">
        <v>249</v>
      </c>
      <c r="E57" s="114">
        <v>28300</v>
      </c>
      <c r="F57" s="117">
        <v>28300</v>
      </c>
      <c r="G57" s="114">
        <v>0</v>
      </c>
      <c r="H57" s="114">
        <v>371</v>
      </c>
      <c r="I57" s="118">
        <v>35</v>
      </c>
      <c r="J57" s="114">
        <v>10.595879999999987</v>
      </c>
      <c r="K57" s="114">
        <v>352.86509910172919</v>
      </c>
      <c r="L57" s="114">
        <v>363.46097910172915</v>
      </c>
      <c r="M57" s="114">
        <v>0</v>
      </c>
      <c r="N57" s="114">
        <v>104.19281999999988</v>
      </c>
      <c r="P57" s="144"/>
    </row>
    <row r="58" spans="1:18">
      <c r="A58" s="111" t="s">
        <v>163</v>
      </c>
      <c r="B58" s="115" t="s">
        <v>238</v>
      </c>
      <c r="C58" s="116" t="s">
        <v>250</v>
      </c>
      <c r="D58" s="116" t="s">
        <v>251</v>
      </c>
      <c r="E58" s="114">
        <v>8635</v>
      </c>
      <c r="F58" s="117">
        <v>8635</v>
      </c>
      <c r="G58" s="114">
        <v>0</v>
      </c>
      <c r="H58" s="114">
        <v>182</v>
      </c>
      <c r="I58" s="118">
        <v>25.083333333333332</v>
      </c>
      <c r="J58" s="114">
        <v>7.26</v>
      </c>
      <c r="K58" s="114">
        <v>105.51811830638522</v>
      </c>
      <c r="L58" s="114">
        <v>112.77811830638522</v>
      </c>
      <c r="M58" s="114">
        <v>0</v>
      </c>
      <c r="N58" s="114">
        <v>19.965</v>
      </c>
      <c r="P58" s="144"/>
    </row>
    <row r="59" spans="1:18">
      <c r="A59" s="111" t="s">
        <v>166</v>
      </c>
      <c r="B59" s="115" t="s">
        <v>243</v>
      </c>
      <c r="C59" s="116" t="s">
        <v>252</v>
      </c>
      <c r="D59" s="116" t="s">
        <v>253</v>
      </c>
      <c r="E59" s="114">
        <v>51940</v>
      </c>
      <c r="F59" s="117">
        <v>51940</v>
      </c>
      <c r="G59" s="114">
        <v>0</v>
      </c>
      <c r="H59" s="114">
        <v>345</v>
      </c>
      <c r="I59" s="118">
        <v>33.916666666666664</v>
      </c>
      <c r="J59" s="114">
        <v>10.182720000000005</v>
      </c>
      <c r="K59" s="114">
        <v>634.6972860259001</v>
      </c>
      <c r="L59" s="114">
        <v>644.8800060259</v>
      </c>
      <c r="M59" s="114">
        <v>0</v>
      </c>
      <c r="N59" s="114">
        <v>120.49552000000004</v>
      </c>
      <c r="P59" s="144"/>
    </row>
    <row r="60" spans="1:18">
      <c r="A60" s="111" t="s">
        <v>170</v>
      </c>
      <c r="B60" s="115" t="s">
        <v>254</v>
      </c>
      <c r="C60" s="116" t="s">
        <v>255</v>
      </c>
      <c r="D60" s="116" t="s">
        <v>256</v>
      </c>
      <c r="E60" s="114">
        <v>95700</v>
      </c>
      <c r="F60" s="117">
        <v>95700</v>
      </c>
      <c r="G60" s="114">
        <v>0</v>
      </c>
      <c r="H60" s="114">
        <v>499</v>
      </c>
      <c r="I60" s="118">
        <v>22.25</v>
      </c>
      <c r="J60" s="114">
        <v>22.489170370370353</v>
      </c>
      <c r="K60" s="114">
        <v>1193.3449938693016</v>
      </c>
      <c r="L60" s="114">
        <v>1215.834164239672</v>
      </c>
      <c r="M60" s="114">
        <v>0</v>
      </c>
      <c r="N60" s="114">
        <v>112.44585185185177</v>
      </c>
      <c r="P60" s="144"/>
    </row>
    <row r="61" spans="1:18">
      <c r="A61" s="111" t="s">
        <v>174</v>
      </c>
      <c r="B61" s="115" t="s">
        <v>257</v>
      </c>
      <c r="C61" s="116" t="s">
        <v>258</v>
      </c>
      <c r="D61" s="116" t="s">
        <v>259</v>
      </c>
      <c r="E61" s="114">
        <v>242210</v>
      </c>
      <c r="F61" s="117">
        <v>242210</v>
      </c>
      <c r="G61" s="114">
        <v>0</v>
      </c>
      <c r="H61" s="114">
        <v>570</v>
      </c>
      <c r="I61" s="118">
        <v>28</v>
      </c>
      <c r="J61" s="114">
        <v>20.368919999999996</v>
      </c>
      <c r="K61" s="114">
        <v>2960.3846266666665</v>
      </c>
      <c r="L61" s="114">
        <v>2980.7535466666664</v>
      </c>
      <c r="M61" s="114">
        <v>0</v>
      </c>
      <c r="N61" s="114">
        <v>227.4529399999999</v>
      </c>
      <c r="P61" s="144"/>
    </row>
    <row r="62" spans="1:18">
      <c r="A62" s="111" t="s">
        <v>178</v>
      </c>
      <c r="B62" s="115" t="s">
        <v>257</v>
      </c>
      <c r="C62" s="116" t="s">
        <v>260</v>
      </c>
      <c r="D62" s="116" t="s">
        <v>261</v>
      </c>
      <c r="E62" s="114">
        <v>78785</v>
      </c>
      <c r="F62" s="117">
        <v>78785</v>
      </c>
      <c r="G62" s="114">
        <v>0</v>
      </c>
      <c r="H62" s="114">
        <v>442</v>
      </c>
      <c r="I62" s="118">
        <v>21</v>
      </c>
      <c r="J62" s="114">
        <v>21.054240000000032</v>
      </c>
      <c r="K62" s="114">
        <v>962.77896166666676</v>
      </c>
      <c r="L62" s="114">
        <v>983.83320166666681</v>
      </c>
      <c r="M62" s="114">
        <v>0</v>
      </c>
      <c r="N62" s="114">
        <v>143.87064000000024</v>
      </c>
      <c r="P62" s="144"/>
    </row>
    <row r="63" spans="1:18" ht="15.75" thickBot="1">
      <c r="A63" s="111" t="s">
        <v>182</v>
      </c>
      <c r="B63" s="112" t="s">
        <v>262</v>
      </c>
      <c r="C63" s="116" t="s">
        <v>263</v>
      </c>
      <c r="D63" s="116" t="s">
        <v>263</v>
      </c>
      <c r="E63" s="114">
        <v>0</v>
      </c>
      <c r="F63" s="117">
        <v>0</v>
      </c>
      <c r="G63" s="114">
        <v>0</v>
      </c>
      <c r="H63" s="114">
        <v>0</v>
      </c>
      <c r="I63" s="118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92401.669487115039</v>
      </c>
      <c r="P63" s="144"/>
    </row>
    <row r="64" spans="1:18" ht="15.75" thickTop="1">
      <c r="A64" s="111" t="s">
        <v>186</v>
      </c>
      <c r="B64" s="112" t="s">
        <v>264</v>
      </c>
      <c r="C64" s="113">
        <v>0</v>
      </c>
      <c r="D64" s="113">
        <v>0</v>
      </c>
      <c r="E64" s="132">
        <v>12296270</v>
      </c>
      <c r="F64" s="132">
        <v>10938766.766692309</v>
      </c>
      <c r="G64" s="132">
        <v>50178.635000000002</v>
      </c>
      <c r="H64" s="132">
        <v>119475.7866222009</v>
      </c>
      <c r="I64" s="113">
        <v>0</v>
      </c>
      <c r="J64" s="132">
        <v>7941.9824110843356</v>
      </c>
      <c r="K64" s="133">
        <f>SUM(K13:K62)</f>
        <v>473105.92545103474</v>
      </c>
      <c r="L64" s="133">
        <f>SUM(L13:L62)</f>
        <v>481047.90786211909</v>
      </c>
      <c r="M64" s="132">
        <v>31430.528366187042</v>
      </c>
      <c r="N64" s="132">
        <f>SUM(N13:N63)</f>
        <v>169386.12646065868</v>
      </c>
    </row>
    <row r="65" spans="1:14">
      <c r="A65" s="111" t="s">
        <v>189</v>
      </c>
      <c r="B65" s="112" t="s">
        <v>265</v>
      </c>
      <c r="C65" s="116" t="s">
        <v>263</v>
      </c>
      <c r="D65" s="116" t="s">
        <v>263</v>
      </c>
      <c r="E65" s="114">
        <v>0</v>
      </c>
      <c r="F65" s="117"/>
      <c r="G65" s="114">
        <v>0</v>
      </c>
      <c r="H65" s="114">
        <v>0</v>
      </c>
      <c r="I65" s="118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</row>
    <row r="66" spans="1:14" ht="15.75" thickBot="1">
      <c r="A66" s="111" t="s">
        <v>192</v>
      </c>
      <c r="B66" s="112" t="s">
        <v>266</v>
      </c>
      <c r="C66" s="116" t="s">
        <v>263</v>
      </c>
      <c r="D66" s="116" t="s">
        <v>263</v>
      </c>
      <c r="E66" s="114">
        <v>0</v>
      </c>
      <c r="F66" s="135">
        <f>-SUM(M64:N64)</f>
        <v>-200816.65482684571</v>
      </c>
      <c r="G66" s="114">
        <v>0</v>
      </c>
      <c r="H66" s="114">
        <v>0</v>
      </c>
      <c r="I66" s="118">
        <v>0</v>
      </c>
      <c r="J66" s="114">
        <v>0</v>
      </c>
      <c r="K66" s="114">
        <v>0</v>
      </c>
      <c r="L66" s="114">
        <v>0</v>
      </c>
      <c r="M66" s="114">
        <v>0</v>
      </c>
      <c r="N66" s="114">
        <v>0</v>
      </c>
    </row>
    <row r="67" spans="1:14" ht="15.75" thickTop="1">
      <c r="A67" s="111" t="s">
        <v>196</v>
      </c>
      <c r="B67" s="112" t="s">
        <v>267</v>
      </c>
      <c r="C67" s="113">
        <v>0</v>
      </c>
      <c r="D67" s="113">
        <v>0</v>
      </c>
      <c r="E67" s="113">
        <v>0</v>
      </c>
      <c r="F67" s="132">
        <f>SUM(F64:F66)</f>
        <v>10737950.111865463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/>
    </row>
    <row r="68" spans="1:14" ht="15.75" thickBot="1">
      <c r="A68" s="111" t="s">
        <v>200</v>
      </c>
      <c r="B68" s="112" t="s">
        <v>268</v>
      </c>
      <c r="C68" s="113">
        <v>0</v>
      </c>
      <c r="D68" s="113">
        <v>0</v>
      </c>
      <c r="E68" s="113">
        <v>0</v>
      </c>
      <c r="F68" s="137">
        <v>4.5730727550607933E-2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</row>
    <row r="69" spans="1:14" ht="15.75" thickTop="1">
      <c r="A69" s="111" t="s">
        <v>204</v>
      </c>
    </row>
    <row r="70" spans="1:14">
      <c r="A70" s="111" t="s">
        <v>207</v>
      </c>
      <c r="B70" s="138" t="s">
        <v>269</v>
      </c>
      <c r="C70" s="119" t="s">
        <v>270</v>
      </c>
      <c r="D70" s="119"/>
      <c r="E70" s="119"/>
      <c r="F70" s="139"/>
      <c r="G70" s="139">
        <f>F64-F40</f>
        <v>10769809.461538462</v>
      </c>
    </row>
    <row r="71" spans="1:14">
      <c r="A71" s="111" t="s">
        <v>211</v>
      </c>
      <c r="B71" s="119"/>
      <c r="C71" s="119" t="s">
        <v>271</v>
      </c>
      <c r="D71" s="119"/>
      <c r="E71" s="119"/>
      <c r="F71" s="140"/>
      <c r="G71" s="140">
        <f>F66+M40+N40</f>
        <v>-200233.34832684571</v>
      </c>
    </row>
    <row r="72" spans="1:14">
      <c r="A72" s="111" t="s">
        <v>215</v>
      </c>
      <c r="B72" s="112" t="s">
        <v>272</v>
      </c>
      <c r="C72" s="112" t="s">
        <v>272</v>
      </c>
      <c r="D72" s="119"/>
      <c r="E72" s="119"/>
      <c r="F72" s="119"/>
      <c r="G72" s="141">
        <v>-4630</v>
      </c>
    </row>
    <row r="73" spans="1:14">
      <c r="A73" s="111" t="s">
        <v>219</v>
      </c>
      <c r="B73" s="119"/>
      <c r="C73" s="119" t="s">
        <v>267</v>
      </c>
      <c r="D73" s="119"/>
      <c r="E73" s="119"/>
      <c r="F73" s="119"/>
      <c r="G73" s="139">
        <f>SUM(G70:G72)</f>
        <v>10564946.113211617</v>
      </c>
    </row>
    <row r="74" spans="1:14">
      <c r="A74" s="111" t="s">
        <v>223</v>
      </c>
      <c r="B74" s="119"/>
      <c r="C74" s="119"/>
      <c r="D74" s="119"/>
      <c r="E74" s="119"/>
      <c r="F74" s="119"/>
      <c r="G74" s="119"/>
    </row>
    <row r="75" spans="1:14">
      <c r="A75" s="111" t="s">
        <v>224</v>
      </c>
      <c r="B75" s="119"/>
      <c r="C75" s="119" t="s">
        <v>273</v>
      </c>
      <c r="D75" s="119"/>
      <c r="E75" s="119"/>
      <c r="F75" s="119"/>
      <c r="G75" s="139">
        <f>L64-L40</f>
        <v>471866.87635613739</v>
      </c>
    </row>
    <row r="76" spans="1:14">
      <c r="A76" s="111" t="s">
        <v>226</v>
      </c>
      <c r="B76" s="119"/>
      <c r="C76" s="119" t="s">
        <v>274</v>
      </c>
      <c r="D76" s="119"/>
      <c r="E76" s="119"/>
      <c r="F76" s="119"/>
      <c r="G76" s="141">
        <v>5947</v>
      </c>
    </row>
    <row r="77" spans="1:14">
      <c r="A77" s="111"/>
      <c r="B77" s="119"/>
      <c r="C77" s="119"/>
      <c r="D77" s="119"/>
      <c r="E77" s="119"/>
      <c r="F77" s="119"/>
      <c r="G77" s="139">
        <f>SUM(G75:G76)</f>
        <v>477813.87635613739</v>
      </c>
    </row>
    <row r="78" spans="1:14">
      <c r="A78" s="111"/>
      <c r="B78" s="119"/>
      <c r="C78" s="119"/>
      <c r="D78" s="119"/>
      <c r="E78" s="119"/>
      <c r="F78" s="119"/>
      <c r="G78" s="139"/>
    </row>
    <row r="79" spans="1:14" ht="15.75" thickBot="1">
      <c r="A79" s="111"/>
      <c r="B79" s="119"/>
      <c r="C79" s="112" t="s">
        <v>268</v>
      </c>
      <c r="D79" s="119"/>
      <c r="E79" s="119"/>
      <c r="F79" s="119"/>
      <c r="G79" s="142">
        <f>G77/G73</f>
        <v>4.5226342968150521E-2</v>
      </c>
    </row>
    <row r="80" spans="1:14" ht="16.5" thickTop="1" thickBot="1">
      <c r="A80" s="105"/>
      <c r="B80" s="145"/>
      <c r="C80" s="145"/>
      <c r="D80" s="145"/>
      <c r="E80" s="145"/>
      <c r="F80" s="145"/>
      <c r="G80" s="145"/>
      <c r="H80" s="105"/>
      <c r="I80" s="105"/>
      <c r="J80" s="105"/>
      <c r="K80" s="105"/>
      <c r="L80" s="105"/>
      <c r="M80" s="105"/>
      <c r="N80" s="105"/>
    </row>
    <row r="81" spans="2:11">
      <c r="B81" s="119" t="s">
        <v>280</v>
      </c>
      <c r="K81" s="119" t="s">
        <v>231</v>
      </c>
    </row>
  </sheetData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  <rowBreaks count="1" manualBreakCount="1">
    <brk id="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90"/>
  <sheetViews>
    <sheetView showGridLines="0" showZeros="0" tabSelected="1" view="pageLayout" zoomScaleNormal="100" workbookViewId="0">
      <selection activeCell="G9" sqref="G9"/>
    </sheetView>
  </sheetViews>
  <sheetFormatPr defaultRowHeight="15"/>
  <cols>
    <col min="1" max="1" width="5.42578125" style="106" customWidth="1"/>
    <col min="2" max="2" width="43.140625" style="106" customWidth="1"/>
    <col min="3" max="13" width="11.7109375" style="106" customWidth="1"/>
    <col min="14" max="14" width="10.5703125" style="106" customWidth="1"/>
    <col min="15" max="16384" width="9.140625" style="106"/>
  </cols>
  <sheetData>
    <row r="1" spans="1:17" ht="15.75" thickBo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7">
      <c r="A2" s="107" t="s">
        <v>81</v>
      </c>
      <c r="E2" s="107" t="s">
        <v>82</v>
      </c>
      <c r="K2" s="107" t="s">
        <v>83</v>
      </c>
    </row>
    <row r="3" spans="1:17">
      <c r="F3" s="107" t="s">
        <v>84</v>
      </c>
      <c r="K3" s="107" t="s">
        <v>85</v>
      </c>
    </row>
    <row r="4" spans="1:17">
      <c r="A4" s="107" t="s">
        <v>86</v>
      </c>
      <c r="F4" s="107" t="s">
        <v>87</v>
      </c>
      <c r="K4" s="107" t="s">
        <v>88</v>
      </c>
    </row>
    <row r="5" spans="1:17">
      <c r="B5" s="107" t="s">
        <v>89</v>
      </c>
      <c r="F5" s="107" t="s">
        <v>90</v>
      </c>
      <c r="K5" s="107" t="s">
        <v>91</v>
      </c>
    </row>
    <row r="6" spans="1:17">
      <c r="K6" s="107" t="s">
        <v>92</v>
      </c>
    </row>
    <row r="7" spans="1:17">
      <c r="A7" s="107" t="s">
        <v>93</v>
      </c>
      <c r="G7" s="107" t="s">
        <v>94</v>
      </c>
      <c r="K7" s="107" t="s">
        <v>95</v>
      </c>
    </row>
    <row r="8" spans="1:17" ht="15.75" thickBo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7">
      <c r="B9" s="108" t="s">
        <v>37</v>
      </c>
      <c r="C9" s="108" t="s">
        <v>96</v>
      </c>
      <c r="D9" s="108" t="s">
        <v>97</v>
      </c>
      <c r="E9" s="108" t="s">
        <v>98</v>
      </c>
      <c r="F9" s="108" t="s">
        <v>99</v>
      </c>
      <c r="G9" s="108" t="s">
        <v>100</v>
      </c>
      <c r="H9" s="108" t="s">
        <v>101</v>
      </c>
      <c r="I9" s="108" t="s">
        <v>102</v>
      </c>
      <c r="J9" s="108" t="s">
        <v>103</v>
      </c>
      <c r="K9" s="108" t="s">
        <v>104</v>
      </c>
      <c r="L9" s="108" t="s">
        <v>105</v>
      </c>
      <c r="M9" s="108" t="s">
        <v>106</v>
      </c>
      <c r="N9" s="108" t="s">
        <v>107</v>
      </c>
    </row>
    <row r="10" spans="1:17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7" ht="102.75" thickBot="1">
      <c r="A11" s="110" t="s">
        <v>108</v>
      </c>
      <c r="B11" s="110" t="s">
        <v>109</v>
      </c>
      <c r="C11" s="110" t="s">
        <v>110</v>
      </c>
      <c r="D11" s="110" t="s">
        <v>111</v>
      </c>
      <c r="E11" s="110" t="s">
        <v>112</v>
      </c>
      <c r="F11" s="110" t="s">
        <v>113</v>
      </c>
      <c r="G11" s="110" t="s">
        <v>114</v>
      </c>
      <c r="H11" s="110" t="s">
        <v>115</v>
      </c>
      <c r="I11" s="110" t="s">
        <v>116</v>
      </c>
      <c r="J11" s="110" t="s">
        <v>117</v>
      </c>
      <c r="K11" s="110" t="s">
        <v>118</v>
      </c>
      <c r="L11" s="110" t="s">
        <v>119</v>
      </c>
      <c r="M11" s="110" t="s">
        <v>120</v>
      </c>
      <c r="N11" s="110" t="s">
        <v>121</v>
      </c>
    </row>
    <row r="12" spans="1:17">
      <c r="A12" s="111" t="s">
        <v>122</v>
      </c>
      <c r="B12" s="112" t="s">
        <v>123</v>
      </c>
      <c r="C12" s="113"/>
      <c r="D12" s="113"/>
      <c r="E12" s="113"/>
      <c r="F12" s="113"/>
      <c r="G12" s="113"/>
      <c r="H12" s="113"/>
      <c r="I12" s="113"/>
      <c r="J12" s="114"/>
      <c r="K12" s="113"/>
      <c r="L12" s="114"/>
      <c r="M12" s="113"/>
      <c r="N12" s="113"/>
    </row>
    <row r="13" spans="1:17">
      <c r="A13" s="111" t="s">
        <v>124</v>
      </c>
      <c r="B13" s="115" t="s">
        <v>125</v>
      </c>
      <c r="C13" s="116" t="s">
        <v>126</v>
      </c>
      <c r="D13" s="116" t="s">
        <v>127</v>
      </c>
      <c r="E13" s="114">
        <v>650000</v>
      </c>
      <c r="F13" s="117">
        <v>100000</v>
      </c>
      <c r="G13" s="114">
        <v>0</v>
      </c>
      <c r="H13" s="114">
        <v>5687.5000000000009</v>
      </c>
      <c r="I13" s="118">
        <v>30</v>
      </c>
      <c r="J13" s="114">
        <v>24.21141823190246</v>
      </c>
      <c r="K13" s="114">
        <v>5398.6111111111122</v>
      </c>
      <c r="L13" s="114">
        <v>5422.8225293430141</v>
      </c>
      <c r="M13" s="114">
        <v>0</v>
      </c>
      <c r="N13" s="114">
        <v>872.49033402199211</v>
      </c>
      <c r="P13" s="159"/>
      <c r="Q13" s="160"/>
    </row>
    <row r="14" spans="1:17">
      <c r="A14" s="111" t="s">
        <v>128</v>
      </c>
      <c r="B14" s="115" t="s">
        <v>129</v>
      </c>
      <c r="C14" s="116" t="s">
        <v>130</v>
      </c>
      <c r="D14" s="116" t="s">
        <v>131</v>
      </c>
      <c r="E14" s="114">
        <v>800000</v>
      </c>
      <c r="F14" s="117">
        <v>800000</v>
      </c>
      <c r="G14" s="114">
        <v>0</v>
      </c>
      <c r="H14" s="114">
        <v>7000</v>
      </c>
      <c r="I14" s="118">
        <v>30</v>
      </c>
      <c r="J14" s="114">
        <v>233.31217845713439</v>
      </c>
      <c r="K14" s="114">
        <v>49280</v>
      </c>
      <c r="L14" s="114">
        <v>49513.312178457134</v>
      </c>
      <c r="M14" s="114">
        <v>0</v>
      </c>
      <c r="N14" s="114">
        <v>6853.545242178323</v>
      </c>
      <c r="P14" s="159"/>
      <c r="Q14" s="160"/>
    </row>
    <row r="15" spans="1:17">
      <c r="A15" s="111" t="s">
        <v>132</v>
      </c>
      <c r="B15" s="115" t="s">
        <v>129</v>
      </c>
      <c r="C15" s="116" t="s">
        <v>133</v>
      </c>
      <c r="D15" s="116" t="s">
        <v>134</v>
      </c>
      <c r="E15" s="114">
        <v>500000</v>
      </c>
      <c r="F15" s="117">
        <v>500000</v>
      </c>
      <c r="G15" s="114">
        <v>0</v>
      </c>
      <c r="H15" s="114">
        <v>4375</v>
      </c>
      <c r="I15" s="118">
        <v>30</v>
      </c>
      <c r="J15" s="114">
        <v>145.82011153570897</v>
      </c>
      <c r="K15" s="114">
        <v>30800.000000000011</v>
      </c>
      <c r="L15" s="114">
        <v>30945.820111535719</v>
      </c>
      <c r="M15" s="114">
        <v>0</v>
      </c>
      <c r="N15" s="114">
        <v>4186.2523686709783</v>
      </c>
      <c r="P15" s="159"/>
      <c r="Q15" s="160"/>
    </row>
    <row r="16" spans="1:17">
      <c r="A16" s="111" t="s">
        <v>135</v>
      </c>
      <c r="B16" s="115" t="s">
        <v>136</v>
      </c>
      <c r="C16" s="116" t="s">
        <v>137</v>
      </c>
      <c r="D16" s="116" t="s">
        <v>138</v>
      </c>
      <c r="E16" s="114">
        <v>500000</v>
      </c>
      <c r="F16" s="117">
        <v>500000</v>
      </c>
      <c r="G16" s="114">
        <v>1905</v>
      </c>
      <c r="H16" s="114">
        <v>5650</v>
      </c>
      <c r="I16" s="118">
        <v>10</v>
      </c>
      <c r="J16" s="114">
        <v>750.66930260869583</v>
      </c>
      <c r="K16" s="114">
        <v>13750.000000000002</v>
      </c>
      <c r="L16" s="114">
        <v>14500.669302608698</v>
      </c>
      <c r="M16" s="114">
        <v>936.625</v>
      </c>
      <c r="N16" s="114">
        <v>2754.165737826087</v>
      </c>
      <c r="P16" s="159"/>
      <c r="Q16" s="160"/>
    </row>
    <row r="17" spans="1:17">
      <c r="A17" s="111" t="s">
        <v>139</v>
      </c>
      <c r="B17" s="115" t="s">
        <v>140</v>
      </c>
      <c r="C17" s="116" t="s">
        <v>141</v>
      </c>
      <c r="D17" s="116" t="s">
        <v>142</v>
      </c>
      <c r="E17" s="114">
        <v>500000</v>
      </c>
      <c r="F17" s="117">
        <v>418172</v>
      </c>
      <c r="G17" s="114">
        <v>6480</v>
      </c>
      <c r="H17" s="114">
        <v>2199.0569799999998</v>
      </c>
      <c r="I17" s="118">
        <v>31</v>
      </c>
      <c r="J17" s="114">
        <v>279.96969567567606</v>
      </c>
      <c r="K17" s="114">
        <v>23522.174999999999</v>
      </c>
      <c r="L17" s="114">
        <v>23802.144695675674</v>
      </c>
      <c r="M17" s="114">
        <v>3291.0244868918967</v>
      </c>
      <c r="N17" s="114">
        <v>1118.4982200000004</v>
      </c>
      <c r="P17" s="159"/>
      <c r="Q17" s="160"/>
    </row>
    <row r="18" spans="1:17">
      <c r="A18" s="111" t="s">
        <v>143</v>
      </c>
      <c r="B18" s="115" t="s">
        <v>144</v>
      </c>
      <c r="C18" s="116" t="s">
        <v>145</v>
      </c>
      <c r="D18" s="116" t="s">
        <v>146</v>
      </c>
      <c r="E18" s="114">
        <v>300000</v>
      </c>
      <c r="F18" s="117">
        <v>229586</v>
      </c>
      <c r="G18" s="114">
        <v>4030</v>
      </c>
      <c r="H18" s="114">
        <v>1593.9194026842999</v>
      </c>
      <c r="I18" s="118">
        <v>30.083333333333332</v>
      </c>
      <c r="J18" s="114">
        <v>186.7476094999999</v>
      </c>
      <c r="K18" s="114">
        <v>12397.644000000002</v>
      </c>
      <c r="L18" s="114">
        <v>12584.391609500002</v>
      </c>
      <c r="M18" s="114">
        <v>2305.3047228749961</v>
      </c>
      <c r="N18" s="114">
        <v>916.09154100000103</v>
      </c>
      <c r="P18" s="159"/>
      <c r="Q18" s="160"/>
    </row>
    <row r="19" spans="1:17">
      <c r="A19" s="111" t="s">
        <v>147</v>
      </c>
      <c r="B19" s="115" t="s">
        <v>148</v>
      </c>
      <c r="C19" s="116" t="s">
        <v>149</v>
      </c>
      <c r="D19" s="116" t="s">
        <v>150</v>
      </c>
      <c r="E19" s="114">
        <v>400000</v>
      </c>
      <c r="F19" s="117">
        <v>394991</v>
      </c>
      <c r="G19" s="114">
        <v>6364</v>
      </c>
      <c r="H19" s="114">
        <v>1996.1578276349001</v>
      </c>
      <c r="I19" s="118">
        <v>31.083333333333332</v>
      </c>
      <c r="J19" s="114">
        <v>268.95969937500007</v>
      </c>
      <c r="K19" s="114">
        <v>22316.9915</v>
      </c>
      <c r="L19" s="114">
        <v>22585.951199374998</v>
      </c>
      <c r="M19" s="114">
        <v>3805.3867056250024</v>
      </c>
      <c r="N19" s="114">
        <v>1192.7810410937486</v>
      </c>
      <c r="P19" s="159"/>
      <c r="Q19" s="160"/>
    </row>
    <row r="20" spans="1:17">
      <c r="A20" s="111" t="s">
        <v>151</v>
      </c>
      <c r="B20" s="115" t="s">
        <v>152</v>
      </c>
      <c r="C20" s="116" t="s">
        <v>153</v>
      </c>
      <c r="D20" s="116" t="s">
        <v>154</v>
      </c>
      <c r="E20" s="114">
        <v>300000</v>
      </c>
      <c r="F20" s="117">
        <v>219161</v>
      </c>
      <c r="G20" s="114">
        <v>2693</v>
      </c>
      <c r="H20" s="114">
        <v>1738.1988999999999</v>
      </c>
      <c r="I20" s="118">
        <v>30</v>
      </c>
      <c r="J20" s="114">
        <v>148.14823983772828</v>
      </c>
      <c r="K20" s="114">
        <v>13587.982000000002</v>
      </c>
      <c r="L20" s="114">
        <v>13736.13023983773</v>
      </c>
      <c r="M20" s="114">
        <v>1602.0937450709966</v>
      </c>
      <c r="N20" s="114">
        <v>1033.7103553752527</v>
      </c>
      <c r="P20" s="159"/>
      <c r="Q20" s="160"/>
    </row>
    <row r="21" spans="1:17">
      <c r="A21" s="111" t="s">
        <v>155</v>
      </c>
      <c r="B21" s="115" t="s">
        <v>156</v>
      </c>
      <c r="C21" s="116" t="s">
        <v>157</v>
      </c>
      <c r="D21" s="116" t="s">
        <v>158</v>
      </c>
      <c r="E21" s="114">
        <v>300000</v>
      </c>
      <c r="F21" s="117">
        <v>300000</v>
      </c>
      <c r="G21" s="114">
        <v>4893</v>
      </c>
      <c r="H21" s="114">
        <v>1634.9651999999999</v>
      </c>
      <c r="I21" s="118">
        <v>30</v>
      </c>
      <c r="J21" s="114">
        <v>217.59881898305073</v>
      </c>
      <c r="K21" s="114">
        <v>14850</v>
      </c>
      <c r="L21" s="114">
        <v>15067.59881898305</v>
      </c>
      <c r="M21" s="114">
        <v>2759.1079777966061</v>
      </c>
      <c r="N21" s="114">
        <v>921.93871000000115</v>
      </c>
      <c r="P21" s="159"/>
      <c r="Q21" s="160"/>
    </row>
    <row r="22" spans="1:17">
      <c r="A22" s="111" t="s">
        <v>159</v>
      </c>
      <c r="B22" s="115" t="s">
        <v>160</v>
      </c>
      <c r="C22" s="116" t="s">
        <v>161</v>
      </c>
      <c r="D22" s="116" t="s">
        <v>162</v>
      </c>
      <c r="E22" s="114">
        <v>200000</v>
      </c>
      <c r="F22" s="117">
        <v>170695</v>
      </c>
      <c r="G22" s="114">
        <v>2212</v>
      </c>
      <c r="H22" s="114">
        <v>910.97675841360001</v>
      </c>
      <c r="I22" s="118">
        <v>30.166666666666668</v>
      </c>
      <c r="J22" s="114">
        <v>103.52415288461536</v>
      </c>
      <c r="K22" s="114">
        <v>9985.6574999999993</v>
      </c>
      <c r="L22" s="114">
        <v>10089.181652884616</v>
      </c>
      <c r="M22" s="114">
        <v>1069.2172295673083</v>
      </c>
      <c r="N22" s="114">
        <v>440.50999999999965</v>
      </c>
      <c r="P22" s="159"/>
      <c r="Q22" s="160"/>
    </row>
    <row r="23" spans="1:17">
      <c r="A23" s="111" t="s">
        <v>163</v>
      </c>
      <c r="B23" s="115" t="s">
        <v>160</v>
      </c>
      <c r="C23" s="116" t="s">
        <v>164</v>
      </c>
      <c r="D23" s="116" t="s">
        <v>165</v>
      </c>
      <c r="E23" s="114">
        <v>300000</v>
      </c>
      <c r="F23" s="117">
        <v>230521</v>
      </c>
      <c r="G23" s="114">
        <v>600</v>
      </c>
      <c r="H23" s="114">
        <v>4097.3441145185998</v>
      </c>
      <c r="I23" s="118">
        <v>30.083333333333332</v>
      </c>
      <c r="J23" s="114">
        <v>156.35639722007735</v>
      </c>
      <c r="K23" s="114">
        <v>13485.478499999999</v>
      </c>
      <c r="L23" s="114">
        <v>13641.834897220077</v>
      </c>
      <c r="M23" s="114">
        <v>375.62324764478711</v>
      </c>
      <c r="N23" s="114">
        <v>2569.0889000000034</v>
      </c>
      <c r="P23" s="159"/>
      <c r="Q23" s="160"/>
    </row>
    <row r="24" spans="1:17">
      <c r="A24" s="111" t="s">
        <v>166</v>
      </c>
      <c r="B24" s="115" t="s">
        <v>167</v>
      </c>
      <c r="C24" s="116" t="s">
        <v>168</v>
      </c>
      <c r="D24" s="116" t="s">
        <v>169</v>
      </c>
      <c r="E24" s="114">
        <v>600000</v>
      </c>
      <c r="F24" s="117">
        <v>600000</v>
      </c>
      <c r="G24" s="114">
        <v>3260</v>
      </c>
      <c r="H24" s="114">
        <v>7838.8020777156999</v>
      </c>
      <c r="I24" s="118">
        <v>30.083333333333332</v>
      </c>
      <c r="J24" s="114">
        <v>369.34802014925322</v>
      </c>
      <c r="K24" s="114">
        <v>35700</v>
      </c>
      <c r="L24" s="114">
        <v>36069.348020149257</v>
      </c>
      <c r="M24" s="114">
        <v>2124.7646445895498</v>
      </c>
      <c r="N24" s="114">
        <v>5108.3007499999931</v>
      </c>
      <c r="P24" s="159"/>
      <c r="Q24" s="160"/>
    </row>
    <row r="25" spans="1:17">
      <c r="A25" s="111" t="s">
        <v>170</v>
      </c>
      <c r="B25" s="115" t="s">
        <v>171</v>
      </c>
      <c r="C25" s="116" t="s">
        <v>172</v>
      </c>
      <c r="D25" s="116" t="s">
        <v>173</v>
      </c>
      <c r="E25" s="114">
        <v>500000</v>
      </c>
      <c r="F25" s="117">
        <v>500000</v>
      </c>
      <c r="G25" s="114">
        <v>499.63499999999999</v>
      </c>
      <c r="H25" s="114">
        <v>6256.2488130922002</v>
      </c>
      <c r="I25" s="118">
        <v>30.083333333333332</v>
      </c>
      <c r="J25" s="114">
        <v>232.65432468085064</v>
      </c>
      <c r="K25" s="114">
        <v>29799.999999999996</v>
      </c>
      <c r="L25" s="114">
        <v>30032.654324680847</v>
      </c>
      <c r="M25" s="114">
        <v>251.7590171276598</v>
      </c>
      <c r="N25" s="114">
        <v>4575.8182199999901</v>
      </c>
      <c r="P25" s="159"/>
      <c r="Q25" s="160"/>
    </row>
    <row r="26" spans="1:17">
      <c r="A26" s="111" t="s">
        <v>174</v>
      </c>
      <c r="B26" s="115" t="s">
        <v>175</v>
      </c>
      <c r="C26" s="116" t="s">
        <v>176</v>
      </c>
      <c r="D26" s="116" t="s">
        <v>177</v>
      </c>
      <c r="E26" s="114">
        <v>400000</v>
      </c>
      <c r="F26" s="117">
        <v>400000</v>
      </c>
      <c r="G26" s="114">
        <v>989</v>
      </c>
      <c r="H26" s="114">
        <v>5408.2598802127995</v>
      </c>
      <c r="I26" s="118">
        <v>30.166666666666668</v>
      </c>
      <c r="J26" s="114">
        <v>205.95012000000011</v>
      </c>
      <c r="K26" s="114">
        <v>20999.999999999996</v>
      </c>
      <c r="L26" s="114">
        <v>21205.950119999998</v>
      </c>
      <c r="M26" s="114">
        <v>742.62943000000132</v>
      </c>
      <c r="N26" s="114">
        <v>3908.4107800000011</v>
      </c>
      <c r="P26" s="159"/>
      <c r="Q26" s="160"/>
    </row>
    <row r="27" spans="1:17">
      <c r="A27" s="111" t="s">
        <v>178</v>
      </c>
      <c r="B27" s="115" t="s">
        <v>179</v>
      </c>
      <c r="C27" s="116" t="s">
        <v>180</v>
      </c>
      <c r="D27" s="116" t="s">
        <v>181</v>
      </c>
      <c r="E27" s="114">
        <v>500000</v>
      </c>
      <c r="F27" s="117">
        <v>500000</v>
      </c>
      <c r="G27" s="114">
        <v>670</v>
      </c>
      <c r="H27" s="114">
        <v>6890</v>
      </c>
      <c r="I27" s="118">
        <v>30</v>
      </c>
      <c r="J27" s="114">
        <v>252.3468660512826</v>
      </c>
      <c r="K27" s="114">
        <v>28450.000000000015</v>
      </c>
      <c r="L27" s="114">
        <v>28702.346866051299</v>
      </c>
      <c r="M27" s="114">
        <v>482.44490482051242</v>
      </c>
      <c r="N27" s="114">
        <v>4974.5560735384761</v>
      </c>
      <c r="P27" s="159"/>
      <c r="Q27" s="160"/>
    </row>
    <row r="28" spans="1:17">
      <c r="A28" s="111" t="s">
        <v>182</v>
      </c>
      <c r="B28" s="115" t="s">
        <v>183</v>
      </c>
      <c r="C28" s="116" t="s">
        <v>184</v>
      </c>
      <c r="D28" s="116" t="s">
        <v>185</v>
      </c>
      <c r="E28" s="114">
        <v>250000</v>
      </c>
      <c r="F28" s="117">
        <v>250000</v>
      </c>
      <c r="G28" s="114">
        <v>225</v>
      </c>
      <c r="H28" s="114">
        <v>3488</v>
      </c>
      <c r="I28" s="118">
        <v>30</v>
      </c>
      <c r="J28" s="114">
        <v>117.97319999999988</v>
      </c>
      <c r="K28" s="114">
        <v>12812.500000000002</v>
      </c>
      <c r="L28" s="114">
        <v>12930.4732</v>
      </c>
      <c r="M28" s="114">
        <v>171.875</v>
      </c>
      <c r="N28" s="114">
        <v>2531.6774999999966</v>
      </c>
      <c r="P28" s="159"/>
      <c r="Q28" s="160"/>
    </row>
    <row r="29" spans="1:17">
      <c r="A29" s="111" t="s">
        <v>186</v>
      </c>
      <c r="B29" s="115" t="s">
        <v>148</v>
      </c>
      <c r="C29" s="116" t="s">
        <v>187</v>
      </c>
      <c r="D29" s="116" t="s">
        <v>188</v>
      </c>
      <c r="E29" s="114">
        <v>240000</v>
      </c>
      <c r="F29" s="117">
        <v>204431</v>
      </c>
      <c r="G29" s="114">
        <v>2775</v>
      </c>
      <c r="H29" s="114">
        <v>1260.4268872463999</v>
      </c>
      <c r="I29" s="118">
        <v>31.083333333333332</v>
      </c>
      <c r="J29" s="114">
        <v>129.82613172413778</v>
      </c>
      <c r="K29" s="114">
        <v>11550.351500000001</v>
      </c>
      <c r="L29" s="114">
        <v>11680.177631724138</v>
      </c>
      <c r="M29" s="114">
        <v>1477.7350577586196</v>
      </c>
      <c r="N29" s="114">
        <v>675.21495999999888</v>
      </c>
      <c r="P29" s="159"/>
      <c r="Q29" s="160"/>
    </row>
    <row r="30" spans="1:17">
      <c r="A30" s="111" t="s">
        <v>189</v>
      </c>
      <c r="B30" s="115" t="s">
        <v>167</v>
      </c>
      <c r="C30" s="116" t="s">
        <v>190</v>
      </c>
      <c r="D30" s="116" t="s">
        <v>191</v>
      </c>
      <c r="E30" s="114">
        <v>300000</v>
      </c>
      <c r="F30" s="117">
        <v>272444</v>
      </c>
      <c r="G30" s="114">
        <v>5802</v>
      </c>
      <c r="H30" s="114">
        <v>1526.6618999999998</v>
      </c>
      <c r="I30" s="118">
        <v>30</v>
      </c>
      <c r="J30" s="114">
        <v>244.28873333333371</v>
      </c>
      <c r="K30" s="114">
        <v>16210.417999999998</v>
      </c>
      <c r="L30" s="114">
        <v>16454.706733333333</v>
      </c>
      <c r="M30" s="114">
        <v>2949.3495933333379</v>
      </c>
      <c r="N30" s="114">
        <v>776.05359000000067</v>
      </c>
      <c r="P30" s="159"/>
      <c r="Q30" s="160"/>
    </row>
    <row r="31" spans="1:17">
      <c r="A31" s="111" t="s">
        <v>192</v>
      </c>
      <c r="B31" s="115" t="s">
        <v>193</v>
      </c>
      <c r="C31" s="116" t="s">
        <v>194</v>
      </c>
      <c r="D31" s="116" t="s">
        <v>195</v>
      </c>
      <c r="E31" s="114">
        <v>600000</v>
      </c>
      <c r="F31" s="117">
        <v>600000</v>
      </c>
      <c r="G31" s="114">
        <v>1482</v>
      </c>
      <c r="H31" s="114">
        <v>8250</v>
      </c>
      <c r="I31" s="118">
        <v>30.166666666666668</v>
      </c>
      <c r="J31" s="114">
        <v>318.52271810126632</v>
      </c>
      <c r="K31" s="114">
        <v>24750</v>
      </c>
      <c r="L31" s="114">
        <v>25068.522718101267</v>
      </c>
      <c r="M31" s="114">
        <v>1158.5793152215181</v>
      </c>
      <c r="N31" s="114">
        <v>6353.2481200000111</v>
      </c>
      <c r="P31" s="159"/>
      <c r="Q31" s="160"/>
    </row>
    <row r="32" spans="1:17">
      <c r="A32" s="111" t="s">
        <v>196</v>
      </c>
      <c r="B32" s="115" t="s">
        <v>197</v>
      </c>
      <c r="C32" s="116" t="s">
        <v>198</v>
      </c>
      <c r="D32" s="116" t="s">
        <v>199</v>
      </c>
      <c r="E32" s="114">
        <v>400000</v>
      </c>
      <c r="F32" s="117">
        <v>400000</v>
      </c>
      <c r="G32" s="114">
        <v>1984</v>
      </c>
      <c r="H32" s="114">
        <v>5700</v>
      </c>
      <c r="I32" s="118">
        <v>30</v>
      </c>
      <c r="J32" s="114">
        <v>240.96783840735026</v>
      </c>
      <c r="K32" s="114">
        <v>15199.999999999998</v>
      </c>
      <c r="L32" s="114">
        <v>15440.967838407349</v>
      </c>
      <c r="M32" s="114">
        <v>1617.5107805053576</v>
      </c>
      <c r="N32" s="114">
        <v>4276.1609338744192</v>
      </c>
      <c r="P32" s="159"/>
      <c r="Q32" s="160"/>
    </row>
    <row r="33" spans="1:17">
      <c r="A33" s="111" t="s">
        <v>200</v>
      </c>
      <c r="B33" s="115" t="s">
        <v>201</v>
      </c>
      <c r="C33" s="116" t="s">
        <v>202</v>
      </c>
      <c r="D33" s="116" t="s">
        <v>203</v>
      </c>
      <c r="E33" s="114">
        <v>600000</v>
      </c>
      <c r="F33" s="117">
        <v>600000</v>
      </c>
      <c r="G33" s="114">
        <v>840</v>
      </c>
      <c r="H33" s="114">
        <v>8150</v>
      </c>
      <c r="I33" s="118">
        <v>30.083333333333332</v>
      </c>
      <c r="J33" s="114">
        <v>290.27771999999936</v>
      </c>
      <c r="K33" s="114">
        <v>24300</v>
      </c>
      <c r="L33" s="114">
        <v>24590.277719999998</v>
      </c>
      <c r="M33" s="114">
        <v>667.81169000000011</v>
      </c>
      <c r="N33" s="114">
        <v>6274.6637799999862</v>
      </c>
      <c r="P33" s="159"/>
      <c r="Q33" s="160"/>
    </row>
    <row r="34" spans="1:17">
      <c r="A34" s="111" t="s">
        <v>204</v>
      </c>
      <c r="B34" s="115" t="s">
        <v>201</v>
      </c>
      <c r="C34" s="116" t="s">
        <v>205</v>
      </c>
      <c r="D34" s="116" t="s">
        <v>206</v>
      </c>
      <c r="E34" s="114">
        <v>500000</v>
      </c>
      <c r="F34" s="117">
        <v>500000</v>
      </c>
      <c r="G34" s="114">
        <v>1650</v>
      </c>
      <c r="H34" s="114">
        <v>6775</v>
      </c>
      <c r="I34" s="118">
        <v>30.083333333333332</v>
      </c>
      <c r="J34" s="114">
        <v>277.57019604017182</v>
      </c>
      <c r="K34" s="114">
        <v>20250</v>
      </c>
      <c r="L34" s="114">
        <v>20527.570196040171</v>
      </c>
      <c r="M34" s="114">
        <v>1439.9670589383079</v>
      </c>
      <c r="N34" s="114">
        <v>5857.8160119512122</v>
      </c>
      <c r="P34" s="159"/>
      <c r="Q34" s="160"/>
    </row>
    <row r="35" spans="1:17">
      <c r="A35" s="111" t="s">
        <v>207</v>
      </c>
      <c r="B35" s="115" t="s">
        <v>208</v>
      </c>
      <c r="C35" s="116" t="s">
        <v>209</v>
      </c>
      <c r="D35" s="116" t="s">
        <v>210</v>
      </c>
      <c r="E35" s="114">
        <v>500000</v>
      </c>
      <c r="F35" s="117">
        <v>500000</v>
      </c>
      <c r="G35" s="114">
        <v>645</v>
      </c>
      <c r="H35" s="114">
        <v>5650</v>
      </c>
      <c r="I35" s="118">
        <v>10.083333333333334</v>
      </c>
      <c r="J35" s="114">
        <v>643.48515807692286</v>
      </c>
      <c r="K35" s="114">
        <v>16249.999999999998</v>
      </c>
      <c r="L35" s="114">
        <v>16893.485158076921</v>
      </c>
      <c r="M35" s="114">
        <v>378.47117999999966</v>
      </c>
      <c r="N35" s="114">
        <v>3428.81600528846</v>
      </c>
      <c r="P35" s="159"/>
      <c r="Q35" s="160"/>
    </row>
    <row r="36" spans="1:17">
      <c r="A36" s="111" t="s">
        <v>211</v>
      </c>
      <c r="B36" s="115" t="s">
        <v>212</v>
      </c>
      <c r="C36" s="116" t="s">
        <v>213</v>
      </c>
      <c r="D36" s="116" t="s">
        <v>214</v>
      </c>
      <c r="E36" s="114">
        <v>600000</v>
      </c>
      <c r="F36" s="117">
        <v>600000</v>
      </c>
      <c r="G36" s="114">
        <v>0</v>
      </c>
      <c r="H36" s="114">
        <v>6600</v>
      </c>
      <c r="I36" s="118">
        <v>10</v>
      </c>
      <c r="J36" s="114">
        <v>524.8632788763698</v>
      </c>
      <c r="K36" s="114">
        <v>18000</v>
      </c>
      <c r="L36" s="114">
        <v>18524.863278876372</v>
      </c>
      <c r="M36" s="114">
        <v>0</v>
      </c>
      <c r="N36" s="114">
        <v>3870.8666817132266</v>
      </c>
      <c r="P36" s="159"/>
      <c r="Q36" s="160"/>
    </row>
    <row r="37" spans="1:17">
      <c r="A37" s="111" t="s">
        <v>215</v>
      </c>
      <c r="B37" s="115" t="s">
        <v>216</v>
      </c>
      <c r="C37" s="116" t="s">
        <v>217</v>
      </c>
      <c r="D37" s="116" t="s">
        <v>218</v>
      </c>
      <c r="E37" s="114">
        <v>300000</v>
      </c>
      <c r="F37" s="117">
        <v>300000</v>
      </c>
      <c r="G37" s="114">
        <v>0</v>
      </c>
      <c r="H37" s="114">
        <v>2625</v>
      </c>
      <c r="I37" s="118">
        <v>30</v>
      </c>
      <c r="J37" s="114">
        <v>87.49206692142522</v>
      </c>
      <c r="K37" s="114">
        <v>15690.000000000002</v>
      </c>
      <c r="L37" s="114">
        <v>15777.492066921428</v>
      </c>
      <c r="M37" s="114">
        <v>0</v>
      </c>
      <c r="N37" s="114">
        <v>2424.2593542811569</v>
      </c>
      <c r="P37" s="159"/>
      <c r="Q37" s="160"/>
    </row>
    <row r="38" spans="1:17">
      <c r="A38" s="111" t="s">
        <v>219</v>
      </c>
      <c r="B38" s="115" t="s">
        <v>220</v>
      </c>
      <c r="C38" s="116" t="s">
        <v>221</v>
      </c>
      <c r="D38" s="116" t="s">
        <v>222</v>
      </c>
      <c r="E38" s="114">
        <v>500000</v>
      </c>
      <c r="F38" s="117">
        <v>423076.92307692306</v>
      </c>
      <c r="G38" s="114">
        <v>0</v>
      </c>
      <c r="H38" s="114">
        <v>4375</v>
      </c>
      <c r="I38" s="118">
        <v>30</v>
      </c>
      <c r="J38" s="114">
        <v>127.98925152247594</v>
      </c>
      <c r="K38" s="114">
        <v>28527.777777777777</v>
      </c>
      <c r="L38" s="114">
        <v>28655.767029300252</v>
      </c>
      <c r="M38" s="114">
        <v>0</v>
      </c>
      <c r="N38" s="114">
        <v>3645.0354162403669</v>
      </c>
      <c r="P38" s="159"/>
      <c r="Q38" s="160"/>
    </row>
    <row r="39" spans="1:17">
      <c r="A39" s="111" t="s">
        <v>223</v>
      </c>
      <c r="P39" s="161"/>
      <c r="Q39" s="161"/>
    </row>
    <row r="40" spans="1:17">
      <c r="A40" s="111" t="s">
        <v>224</v>
      </c>
      <c r="B40" s="112" t="s">
        <v>225</v>
      </c>
      <c r="C40" s="113"/>
      <c r="D40" s="113"/>
      <c r="E40" s="113"/>
      <c r="F40" s="113"/>
      <c r="G40" s="113"/>
      <c r="H40" s="113"/>
      <c r="I40" s="113"/>
      <c r="J40" s="114"/>
      <c r="K40" s="113"/>
      <c r="L40" s="114"/>
      <c r="M40" s="113"/>
      <c r="N40" s="113"/>
    </row>
    <row r="41" spans="1:17">
      <c r="A41" s="111" t="s">
        <v>226</v>
      </c>
      <c r="B41" s="115" t="s">
        <v>227</v>
      </c>
      <c r="C41" s="116" t="s">
        <v>228</v>
      </c>
      <c r="D41" s="116" t="s">
        <v>229</v>
      </c>
      <c r="E41" s="114">
        <v>288000</v>
      </c>
      <c r="F41" s="117">
        <v>100426.43799999999</v>
      </c>
      <c r="G41" s="114">
        <v>96</v>
      </c>
      <c r="H41" s="114">
        <v>3334</v>
      </c>
      <c r="I41" s="118">
        <v>12.25</v>
      </c>
      <c r="J41" s="114">
        <v>279.98711999999983</v>
      </c>
      <c r="K41" s="114">
        <v>5300.8283296880409</v>
      </c>
      <c r="L41" s="114">
        <v>5580.8154496880406</v>
      </c>
      <c r="M41" s="114">
        <v>4.3046900000000017</v>
      </c>
      <c r="N41" s="114">
        <v>299.01468999999986</v>
      </c>
    </row>
    <row r="42" spans="1:17" ht="15.75" thickBot="1">
      <c r="A42" s="120"/>
      <c r="B42" s="121"/>
      <c r="C42" s="122"/>
      <c r="D42" s="122"/>
      <c r="E42" s="123"/>
      <c r="F42" s="124"/>
      <c r="G42" s="123"/>
      <c r="H42" s="123"/>
      <c r="I42" s="125"/>
      <c r="J42" s="123"/>
      <c r="K42" s="123"/>
      <c r="L42" s="123"/>
      <c r="M42" s="123"/>
      <c r="N42" s="123"/>
    </row>
    <row r="43" spans="1:17">
      <c r="A43" s="126"/>
      <c r="B43" s="127" t="s">
        <v>230</v>
      </c>
      <c r="C43" s="128"/>
      <c r="D43" s="128"/>
      <c r="E43" s="129"/>
      <c r="F43" s="130"/>
      <c r="G43" s="129"/>
      <c r="H43" s="129"/>
      <c r="I43" s="131"/>
      <c r="J43" s="129"/>
      <c r="K43" s="129"/>
      <c r="L43" s="129"/>
      <c r="M43" s="129"/>
      <c r="N43" s="129" t="s">
        <v>231</v>
      </c>
    </row>
    <row r="44" spans="1:17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</row>
    <row r="45" spans="1:17">
      <c r="A45" s="126" t="s">
        <v>122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7">
      <c r="A46" s="111" t="s">
        <v>124</v>
      </c>
      <c r="B46" s="112" t="s">
        <v>232</v>
      </c>
      <c r="C46" s="113"/>
      <c r="D46" s="113"/>
      <c r="E46" s="113"/>
      <c r="F46" s="113"/>
      <c r="G46" s="113"/>
      <c r="H46" s="113"/>
      <c r="I46" s="113"/>
      <c r="J46" s="114"/>
      <c r="K46" s="113"/>
      <c r="L46" s="114"/>
      <c r="M46" s="113"/>
      <c r="N46" s="113"/>
    </row>
    <row r="47" spans="1:17">
      <c r="A47" s="111" t="s">
        <v>128</v>
      </c>
      <c r="B47" s="115" t="s">
        <v>233</v>
      </c>
      <c r="C47" s="116" t="s">
        <v>213</v>
      </c>
      <c r="D47" s="116" t="s">
        <v>126</v>
      </c>
      <c r="E47" s="114">
        <v>600000</v>
      </c>
      <c r="F47" s="117">
        <v>507692.30769230769</v>
      </c>
      <c r="G47" s="114">
        <v>0</v>
      </c>
      <c r="H47" s="114">
        <v>32</v>
      </c>
      <c r="I47" s="118">
        <v>3</v>
      </c>
      <c r="J47" s="114">
        <v>874.35847964499249</v>
      </c>
      <c r="K47" s="114">
        <v>8199.2999999999993</v>
      </c>
      <c r="L47" s="114">
        <v>9073.6584796449933</v>
      </c>
      <c r="M47" s="114">
        <v>0</v>
      </c>
      <c r="N47" s="114">
        <v>3.7610000000000001</v>
      </c>
    </row>
    <row r="48" spans="1:17">
      <c r="A48" s="111" t="s">
        <v>132</v>
      </c>
    </row>
    <row r="49" spans="1:14">
      <c r="A49" s="111" t="s">
        <v>135</v>
      </c>
      <c r="B49" s="112" t="s">
        <v>234</v>
      </c>
      <c r="C49" s="113"/>
      <c r="D49" s="113"/>
      <c r="E49" s="113"/>
      <c r="F49" s="113"/>
      <c r="G49" s="113"/>
      <c r="H49" s="113"/>
      <c r="I49" s="113"/>
      <c r="J49" s="114"/>
      <c r="K49" s="113"/>
      <c r="L49" s="114"/>
      <c r="M49" s="113"/>
      <c r="N49" s="113"/>
    </row>
    <row r="50" spans="1:14">
      <c r="A50" s="111" t="s">
        <v>139</v>
      </c>
      <c r="B50" s="115" t="s">
        <v>235</v>
      </c>
      <c r="C50" s="116" t="s">
        <v>236</v>
      </c>
      <c r="D50" s="116" t="s">
        <v>237</v>
      </c>
      <c r="E50" s="114">
        <v>85000</v>
      </c>
      <c r="F50" s="117">
        <v>85000</v>
      </c>
      <c r="G50" s="114">
        <v>0</v>
      </c>
      <c r="H50" s="114">
        <v>720</v>
      </c>
      <c r="I50" s="118">
        <v>30</v>
      </c>
      <c r="J50" s="114">
        <v>16.482394382022488</v>
      </c>
      <c r="K50" s="114">
        <v>1352.6970833333335</v>
      </c>
      <c r="L50" s="114">
        <v>1369.1794777153561</v>
      </c>
      <c r="M50" s="114">
        <v>0</v>
      </c>
      <c r="N50" s="114">
        <v>580</v>
      </c>
    </row>
    <row r="51" spans="1:14">
      <c r="A51" s="111" t="s">
        <v>143</v>
      </c>
      <c r="B51" s="115" t="s">
        <v>238</v>
      </c>
      <c r="C51" s="116" t="s">
        <v>239</v>
      </c>
      <c r="D51" s="116" t="s">
        <v>240</v>
      </c>
      <c r="E51" s="114">
        <v>15000</v>
      </c>
      <c r="F51" s="117">
        <v>15000</v>
      </c>
      <c r="G51" s="114">
        <v>0</v>
      </c>
      <c r="H51" s="114">
        <v>520</v>
      </c>
      <c r="I51" s="118">
        <v>31.5</v>
      </c>
      <c r="J51" s="114">
        <v>16.501559999999969</v>
      </c>
      <c r="K51" s="114">
        <v>249.96125000000001</v>
      </c>
      <c r="L51" s="114">
        <v>266.46280999999993</v>
      </c>
      <c r="M51" s="114">
        <v>0</v>
      </c>
      <c r="N51" s="114">
        <v>75.632149999999882</v>
      </c>
    </row>
    <row r="52" spans="1:14">
      <c r="A52" s="111" t="s">
        <v>147</v>
      </c>
      <c r="B52" s="115" t="s">
        <v>238</v>
      </c>
      <c r="C52" s="116" t="s">
        <v>241</v>
      </c>
      <c r="D52" s="116" t="s">
        <v>242</v>
      </c>
      <c r="E52" s="114">
        <v>45750</v>
      </c>
      <c r="F52" s="117">
        <v>45750</v>
      </c>
      <c r="G52" s="114">
        <v>0</v>
      </c>
      <c r="H52" s="114">
        <v>711</v>
      </c>
      <c r="I52" s="118">
        <v>27.5</v>
      </c>
      <c r="J52" s="114">
        <v>25.844039999999982</v>
      </c>
      <c r="K52" s="114">
        <v>773.81931250000002</v>
      </c>
      <c r="L52" s="114">
        <v>799.66335250000009</v>
      </c>
      <c r="M52" s="114">
        <v>0</v>
      </c>
      <c r="N52" s="114">
        <v>75.378449999999972</v>
      </c>
    </row>
    <row r="53" spans="1:14">
      <c r="A53" s="111" t="s">
        <v>151</v>
      </c>
      <c r="B53" s="115" t="s">
        <v>243</v>
      </c>
      <c r="C53" s="116" t="s">
        <v>244</v>
      </c>
      <c r="D53" s="116" t="s">
        <v>245</v>
      </c>
      <c r="E53" s="114">
        <v>45960</v>
      </c>
      <c r="F53" s="117">
        <v>45960</v>
      </c>
      <c r="G53" s="114">
        <v>0</v>
      </c>
      <c r="H53" s="114">
        <v>397</v>
      </c>
      <c r="I53" s="118">
        <v>30.5</v>
      </c>
      <c r="J53" s="114">
        <v>13.006567850467263</v>
      </c>
      <c r="K53" s="114">
        <v>777.3712700000001</v>
      </c>
      <c r="L53" s="114">
        <v>790.37783785046747</v>
      </c>
      <c r="M53" s="114">
        <v>0</v>
      </c>
      <c r="N53" s="114">
        <v>80.207168411214809</v>
      </c>
    </row>
    <row r="54" spans="1:14">
      <c r="A54" s="111" t="s">
        <v>155</v>
      </c>
      <c r="B54" s="115" t="s">
        <v>246</v>
      </c>
      <c r="C54" s="116" t="s">
        <v>244</v>
      </c>
      <c r="D54" s="116" t="s">
        <v>245</v>
      </c>
      <c r="E54" s="114">
        <v>16510</v>
      </c>
      <c r="F54" s="117">
        <v>16510</v>
      </c>
      <c r="G54" s="114">
        <v>0</v>
      </c>
      <c r="H54" s="114">
        <v>132</v>
      </c>
      <c r="I54" s="118">
        <v>30.5</v>
      </c>
      <c r="J54" s="114">
        <v>4.3203600000000062</v>
      </c>
      <c r="K54" s="114">
        <v>279.25151583333331</v>
      </c>
      <c r="L54" s="114">
        <v>283.57187583333331</v>
      </c>
      <c r="M54" s="114">
        <v>0</v>
      </c>
      <c r="N54" s="114">
        <v>26.642220000000034</v>
      </c>
    </row>
    <row r="55" spans="1:14">
      <c r="A55" s="111" t="s">
        <v>159</v>
      </c>
      <c r="B55" s="115" t="s">
        <v>247</v>
      </c>
      <c r="C55" s="116" t="s">
        <v>244</v>
      </c>
      <c r="D55" s="116" t="s">
        <v>245</v>
      </c>
      <c r="E55" s="114">
        <v>4480</v>
      </c>
      <c r="F55" s="117">
        <v>4480</v>
      </c>
      <c r="G55" s="114">
        <v>0</v>
      </c>
      <c r="H55" s="114">
        <v>83</v>
      </c>
      <c r="I55" s="118">
        <v>30.5</v>
      </c>
      <c r="J55" s="114">
        <v>2.71692</v>
      </c>
      <c r="K55" s="114">
        <v>75.775093333333331</v>
      </c>
      <c r="L55" s="114">
        <v>78.492013333333333</v>
      </c>
      <c r="M55" s="114">
        <v>0</v>
      </c>
      <c r="N55" s="114">
        <v>16.754340000000003</v>
      </c>
    </row>
    <row r="56" spans="1:14">
      <c r="A56" s="111" t="s">
        <v>163</v>
      </c>
      <c r="B56" s="115" t="s">
        <v>243</v>
      </c>
      <c r="C56" s="116" t="s">
        <v>248</v>
      </c>
      <c r="D56" s="116" t="s">
        <v>249</v>
      </c>
      <c r="E56" s="114">
        <v>28300</v>
      </c>
      <c r="F56" s="117">
        <v>28300</v>
      </c>
      <c r="G56" s="114">
        <v>0</v>
      </c>
      <c r="H56" s="114">
        <v>371</v>
      </c>
      <c r="I56" s="118">
        <v>35</v>
      </c>
      <c r="J56" s="114">
        <v>10.59587999999998</v>
      </c>
      <c r="K56" s="114">
        <v>478.66855833333329</v>
      </c>
      <c r="L56" s="114">
        <v>489.26443833333332</v>
      </c>
      <c r="M56" s="114">
        <v>0</v>
      </c>
      <c r="N56" s="114">
        <v>93.596939999999847</v>
      </c>
    </row>
    <row r="57" spans="1:14">
      <c r="A57" s="111" t="s">
        <v>166</v>
      </c>
      <c r="B57" s="115" t="s">
        <v>238</v>
      </c>
      <c r="C57" s="116" t="s">
        <v>250</v>
      </c>
      <c r="D57" s="116" t="s">
        <v>251</v>
      </c>
      <c r="E57" s="114">
        <v>8635</v>
      </c>
      <c r="F57" s="117">
        <v>8635</v>
      </c>
      <c r="G57" s="114">
        <v>0</v>
      </c>
      <c r="H57" s="114">
        <v>182</v>
      </c>
      <c r="I57" s="118">
        <v>25.083333333333332</v>
      </c>
      <c r="J57" s="114">
        <v>7.26</v>
      </c>
      <c r="K57" s="114">
        <v>143.89435958333334</v>
      </c>
      <c r="L57" s="114">
        <v>151.15435958333333</v>
      </c>
      <c r="M57" s="114">
        <v>0</v>
      </c>
      <c r="N57" s="114">
        <v>12.705</v>
      </c>
    </row>
    <row r="58" spans="1:14">
      <c r="A58" s="111" t="s">
        <v>170</v>
      </c>
      <c r="B58" s="115" t="s">
        <v>243</v>
      </c>
      <c r="C58" s="116" t="s">
        <v>252</v>
      </c>
      <c r="D58" s="116" t="s">
        <v>253</v>
      </c>
      <c r="E58" s="114">
        <v>51940</v>
      </c>
      <c r="F58" s="117">
        <v>51940</v>
      </c>
      <c r="G58" s="114">
        <v>0</v>
      </c>
      <c r="H58" s="114">
        <v>345</v>
      </c>
      <c r="I58" s="118">
        <v>33.916666666666664</v>
      </c>
      <c r="J58" s="114">
        <v>10.182720000000007</v>
      </c>
      <c r="K58" s="114">
        <v>865.53248833333339</v>
      </c>
      <c r="L58" s="114">
        <v>875.71520833333341</v>
      </c>
      <c r="M58" s="114">
        <v>0</v>
      </c>
      <c r="N58" s="114">
        <v>110.31280000000007</v>
      </c>
    </row>
    <row r="59" spans="1:14">
      <c r="A59" s="111" t="s">
        <v>174</v>
      </c>
      <c r="B59" s="115" t="s">
        <v>254</v>
      </c>
      <c r="C59" s="116" t="s">
        <v>255</v>
      </c>
      <c r="D59" s="116" t="s">
        <v>256</v>
      </c>
      <c r="E59" s="114">
        <v>95700</v>
      </c>
      <c r="F59" s="117">
        <v>95700</v>
      </c>
      <c r="G59" s="114">
        <v>0</v>
      </c>
      <c r="H59" s="114">
        <v>499</v>
      </c>
      <c r="I59" s="118">
        <v>22.25</v>
      </c>
      <c r="J59" s="114">
        <v>22.489170370370363</v>
      </c>
      <c r="K59" s="114">
        <v>1618.6777750000001</v>
      </c>
      <c r="L59" s="114">
        <v>1641.1669453703705</v>
      </c>
      <c r="M59" s="114">
        <v>0</v>
      </c>
      <c r="N59" s="114">
        <v>89.956681481481439</v>
      </c>
    </row>
    <row r="60" spans="1:14">
      <c r="A60" s="111" t="s">
        <v>178</v>
      </c>
      <c r="B60" s="115" t="s">
        <v>257</v>
      </c>
      <c r="C60" s="116" t="s">
        <v>258</v>
      </c>
      <c r="D60" s="116" t="s">
        <v>259</v>
      </c>
      <c r="E60" s="114">
        <v>242210</v>
      </c>
      <c r="F60" s="117">
        <v>242210</v>
      </c>
      <c r="G60" s="114">
        <v>0</v>
      </c>
      <c r="H60" s="114">
        <v>570</v>
      </c>
      <c r="I60" s="118">
        <v>28</v>
      </c>
      <c r="J60" s="114">
        <v>20.368919999999996</v>
      </c>
      <c r="K60" s="114">
        <v>4036.2076241666668</v>
      </c>
      <c r="L60" s="114">
        <v>4056.5765441666667</v>
      </c>
      <c r="M60" s="114">
        <v>0</v>
      </c>
      <c r="N60" s="114">
        <v>207.08401999999987</v>
      </c>
    </row>
    <row r="61" spans="1:14">
      <c r="A61" s="111" t="s">
        <v>182</v>
      </c>
      <c r="B61" s="115" t="s">
        <v>257</v>
      </c>
      <c r="C61" s="116" t="s">
        <v>260</v>
      </c>
      <c r="D61" s="116" t="s">
        <v>261</v>
      </c>
      <c r="E61" s="114">
        <v>78785</v>
      </c>
      <c r="F61" s="117">
        <v>78785</v>
      </c>
      <c r="G61" s="114">
        <v>0</v>
      </c>
      <c r="H61" s="114">
        <v>442</v>
      </c>
      <c r="I61" s="118">
        <v>21</v>
      </c>
      <c r="J61" s="114">
        <v>21.05424000000005</v>
      </c>
      <c r="K61" s="114">
        <v>1312.8798054166664</v>
      </c>
      <c r="L61" s="114">
        <v>1333.9340454166663</v>
      </c>
      <c r="M61" s="114">
        <v>0</v>
      </c>
      <c r="N61" s="114">
        <v>122.81640000000029</v>
      </c>
    </row>
    <row r="62" spans="1:14" ht="15.75" thickBot="1">
      <c r="A62" s="111" t="s">
        <v>186</v>
      </c>
      <c r="B62" s="112" t="s">
        <v>262</v>
      </c>
      <c r="C62" s="116" t="s">
        <v>263</v>
      </c>
      <c r="D62" s="116" t="s">
        <v>263</v>
      </c>
      <c r="E62" s="114">
        <v>0</v>
      </c>
      <c r="F62" s="117">
        <v>0</v>
      </c>
      <c r="G62" s="114">
        <v>0</v>
      </c>
      <c r="H62" s="114">
        <v>0</v>
      </c>
      <c r="I62" s="118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86454.477148323553</v>
      </c>
    </row>
    <row r="63" spans="1:14" ht="15.75" thickTop="1">
      <c r="A63" s="111" t="s">
        <v>189</v>
      </c>
      <c r="B63" s="112" t="s">
        <v>264</v>
      </c>
      <c r="C63" s="113">
        <v>0</v>
      </c>
      <c r="D63" s="113">
        <v>0</v>
      </c>
      <c r="E63" s="132">
        <v>13146270</v>
      </c>
      <c r="F63" s="132">
        <v>11839466.668769231</v>
      </c>
      <c r="G63" s="132">
        <v>50094.635000000002</v>
      </c>
      <c r="H63" s="132">
        <v>126014.51874151851</v>
      </c>
      <c r="I63" s="113">
        <v>0</v>
      </c>
      <c r="J63" s="132">
        <v>7904.0416204422818</v>
      </c>
      <c r="K63" s="133">
        <f>SUM(K13:K61)</f>
        <v>553330.45135441027</v>
      </c>
      <c r="L63" s="133">
        <f>SUM(L13:L61)</f>
        <v>561234.49297485256</v>
      </c>
      <c r="M63" s="132">
        <v>29611.585477766461</v>
      </c>
      <c r="N63" s="132">
        <f>SUM(N13:N62)</f>
        <v>169788.30963526992</v>
      </c>
    </row>
    <row r="64" spans="1:14">
      <c r="A64" s="111" t="s">
        <v>192</v>
      </c>
      <c r="B64" s="112" t="s">
        <v>265</v>
      </c>
      <c r="C64" s="134">
        <v>0</v>
      </c>
      <c r="D64" s="116" t="s">
        <v>263</v>
      </c>
      <c r="E64" s="114">
        <v>0</v>
      </c>
      <c r="F64" s="117"/>
      <c r="G64" s="114">
        <v>0</v>
      </c>
      <c r="H64" s="114">
        <v>0</v>
      </c>
      <c r="I64" s="118">
        <v>0</v>
      </c>
      <c r="J64" s="114">
        <v>0</v>
      </c>
      <c r="K64" s="114">
        <v>0</v>
      </c>
      <c r="L64" s="114">
        <v>0</v>
      </c>
      <c r="M64" s="114">
        <v>0</v>
      </c>
      <c r="N64" s="114">
        <v>0</v>
      </c>
    </row>
    <row r="65" spans="1:14" ht="15.75" thickBot="1">
      <c r="A65" s="111" t="s">
        <v>196</v>
      </c>
      <c r="B65" s="112" t="s">
        <v>266</v>
      </c>
      <c r="C65" s="116" t="s">
        <v>263</v>
      </c>
      <c r="D65" s="116" t="s">
        <v>263</v>
      </c>
      <c r="E65" s="114">
        <v>0</v>
      </c>
      <c r="F65" s="135">
        <f>-SUM(M63:N63)</f>
        <v>-199399.89511303639</v>
      </c>
      <c r="G65" s="114">
        <v>0</v>
      </c>
      <c r="H65" s="114">
        <v>0</v>
      </c>
      <c r="I65" s="118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</row>
    <row r="66" spans="1:14" ht="15.75" thickTop="1">
      <c r="A66" s="111" t="s">
        <v>200</v>
      </c>
      <c r="B66" s="112" t="s">
        <v>267</v>
      </c>
      <c r="C66" s="113">
        <v>0</v>
      </c>
      <c r="D66" s="113">
        <v>0</v>
      </c>
      <c r="E66" s="113">
        <v>0</v>
      </c>
      <c r="F66" s="136">
        <f>SUM(F63:F65)</f>
        <v>11640066.773656195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</row>
    <row r="67" spans="1:14" ht="15.75" thickBot="1">
      <c r="A67" s="111" t="s">
        <v>204</v>
      </c>
      <c r="B67" s="112" t="s">
        <v>268</v>
      </c>
      <c r="C67" s="134">
        <v>0</v>
      </c>
      <c r="D67" s="113">
        <v>0</v>
      </c>
      <c r="E67" s="113">
        <v>0</v>
      </c>
      <c r="F67" s="137">
        <v>4.8216770056823441E-2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/>
    </row>
    <row r="68" spans="1:14" ht="15.75" thickTop="1">
      <c r="A68" s="111" t="s">
        <v>207</v>
      </c>
    </row>
    <row r="69" spans="1:14">
      <c r="A69" s="111" t="s">
        <v>211</v>
      </c>
      <c r="B69" s="138" t="s">
        <v>269</v>
      </c>
      <c r="C69" s="119" t="s">
        <v>270</v>
      </c>
      <c r="D69" s="119"/>
      <c r="E69" s="119"/>
      <c r="F69" s="139"/>
      <c r="G69" s="139">
        <f>F63-F41</f>
        <v>11739040.230769232</v>
      </c>
    </row>
    <row r="70" spans="1:14">
      <c r="A70" s="111" t="s">
        <v>215</v>
      </c>
      <c r="B70" s="119"/>
      <c r="C70" s="119" t="s">
        <v>271</v>
      </c>
      <c r="D70" s="119"/>
      <c r="E70" s="119"/>
      <c r="F70" s="140"/>
      <c r="G70" s="140">
        <f>F65+M41+N41</f>
        <v>-199096.57573303638</v>
      </c>
    </row>
    <row r="71" spans="1:14">
      <c r="A71" s="111"/>
      <c r="B71" s="112" t="s">
        <v>272</v>
      </c>
      <c r="C71" s="112" t="s">
        <v>272</v>
      </c>
      <c r="D71" s="119"/>
      <c r="E71" s="119"/>
      <c r="F71" s="119"/>
      <c r="G71" s="141">
        <v>-4630</v>
      </c>
    </row>
    <row r="72" spans="1:14">
      <c r="A72" s="111"/>
      <c r="B72" s="119"/>
      <c r="C72" s="119" t="s">
        <v>267</v>
      </c>
      <c r="D72" s="119"/>
      <c r="E72" s="119"/>
      <c r="F72" s="119"/>
      <c r="G72" s="139">
        <f>SUM(G69:G71)</f>
        <v>11535313.655036196</v>
      </c>
    </row>
    <row r="73" spans="1:14">
      <c r="A73" s="111"/>
      <c r="B73" s="119"/>
      <c r="C73" s="119"/>
      <c r="D73" s="119"/>
      <c r="E73" s="119"/>
      <c r="F73" s="119"/>
      <c r="G73" s="119"/>
    </row>
    <row r="74" spans="1:14">
      <c r="A74" s="111"/>
      <c r="B74" s="119"/>
      <c r="C74" s="119" t="s">
        <v>273</v>
      </c>
      <c r="D74" s="119"/>
      <c r="E74" s="119"/>
      <c r="F74" s="119"/>
      <c r="G74" s="139">
        <f>L63-L41</f>
        <v>555653.67752516456</v>
      </c>
    </row>
    <row r="75" spans="1:14">
      <c r="A75" s="111"/>
      <c r="B75" s="119"/>
      <c r="C75" s="119" t="s">
        <v>274</v>
      </c>
      <c r="D75" s="119"/>
      <c r="E75" s="119"/>
      <c r="F75" s="119"/>
      <c r="G75" s="141">
        <v>5947</v>
      </c>
    </row>
    <row r="76" spans="1:14">
      <c r="A76" s="111"/>
      <c r="B76" s="119"/>
      <c r="C76" s="119"/>
      <c r="D76" s="119"/>
      <c r="E76" s="119"/>
      <c r="F76" s="119"/>
      <c r="G76" s="139">
        <f>SUM(G74:G75)</f>
        <v>561600.67752516456</v>
      </c>
    </row>
    <row r="77" spans="1:14">
      <c r="A77" s="111"/>
      <c r="B77" s="119"/>
      <c r="C77" s="119"/>
      <c r="D77" s="119"/>
      <c r="E77" s="119"/>
      <c r="F77" s="119"/>
      <c r="G77" s="139"/>
    </row>
    <row r="78" spans="1:14" ht="15.75" thickBot="1">
      <c r="A78" s="111"/>
      <c r="B78" s="119"/>
      <c r="C78" s="112" t="s">
        <v>268</v>
      </c>
      <c r="D78" s="119"/>
      <c r="E78" s="119"/>
      <c r="F78" s="119"/>
      <c r="G78" s="142">
        <f>G76/G72</f>
        <v>4.8685340886242448E-2</v>
      </c>
    </row>
    <row r="79" spans="1:14" ht="15.75" thickTop="1">
      <c r="A79" s="111"/>
    </row>
    <row r="80" spans="1:14">
      <c r="A80" s="111"/>
    </row>
    <row r="81" spans="1:14">
      <c r="A81" s="111"/>
    </row>
    <row r="82" spans="1:14">
      <c r="A82" s="111"/>
    </row>
    <row r="83" spans="1:14">
      <c r="A83" s="111"/>
    </row>
    <row r="84" spans="1:14">
      <c r="A84" s="111"/>
    </row>
    <row r="85" spans="1:14">
      <c r="A85" s="111" t="s">
        <v>219</v>
      </c>
    </row>
    <row r="86" spans="1:14">
      <c r="A86" s="111" t="s">
        <v>223</v>
      </c>
    </row>
    <row r="87" spans="1:14">
      <c r="A87" s="111" t="s">
        <v>224</v>
      </c>
    </row>
    <row r="88" spans="1:14">
      <c r="A88" s="111" t="s">
        <v>226</v>
      </c>
    </row>
    <row r="89" spans="1:14" ht="15.75" thickBot="1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>
      <c r="B90" s="127" t="s">
        <v>230</v>
      </c>
      <c r="N90" s="129" t="s">
        <v>231</v>
      </c>
    </row>
  </sheetData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  <rowBreaks count="1" manualBreakCount="1">
    <brk id="4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90"/>
  <sheetViews>
    <sheetView showGridLines="0" showZeros="0" tabSelected="1" view="pageLayout" zoomScaleNormal="100" workbookViewId="0">
      <selection activeCell="G9" sqref="G9"/>
    </sheetView>
  </sheetViews>
  <sheetFormatPr defaultRowHeight="15"/>
  <cols>
    <col min="1" max="1" width="5.42578125" style="106" customWidth="1"/>
    <col min="2" max="2" width="43.140625" style="106" customWidth="1"/>
    <col min="3" max="13" width="11.7109375" style="106" customWidth="1"/>
    <col min="14" max="14" width="10.5703125" style="106" customWidth="1"/>
    <col min="15" max="16384" width="9.140625" style="106"/>
  </cols>
  <sheetData>
    <row r="1" spans="1:17" ht="15.75" thickBo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7">
      <c r="A2" s="107" t="s">
        <v>81</v>
      </c>
      <c r="E2" s="107" t="s">
        <v>82</v>
      </c>
      <c r="K2" s="107" t="s">
        <v>83</v>
      </c>
    </row>
    <row r="3" spans="1:17">
      <c r="F3" s="107" t="s">
        <v>84</v>
      </c>
      <c r="K3" s="107" t="s">
        <v>85</v>
      </c>
    </row>
    <row r="4" spans="1:17">
      <c r="A4" s="107" t="s">
        <v>86</v>
      </c>
      <c r="F4" s="107" t="s">
        <v>87</v>
      </c>
      <c r="K4" s="107" t="s">
        <v>88</v>
      </c>
    </row>
    <row r="5" spans="1:17">
      <c r="B5" s="107" t="s">
        <v>89</v>
      </c>
      <c r="F5" s="107" t="s">
        <v>90</v>
      </c>
      <c r="K5" s="107" t="s">
        <v>91</v>
      </c>
    </row>
    <row r="6" spans="1:17">
      <c r="K6" s="107" t="s">
        <v>92</v>
      </c>
    </row>
    <row r="7" spans="1:17">
      <c r="A7" s="107" t="s">
        <v>93</v>
      </c>
      <c r="G7" s="107" t="s">
        <v>94</v>
      </c>
      <c r="K7" s="107" t="s">
        <v>95</v>
      </c>
    </row>
    <row r="8" spans="1:17" ht="15.75" thickBo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7">
      <c r="B9" s="108" t="s">
        <v>37</v>
      </c>
      <c r="C9" s="108" t="s">
        <v>96</v>
      </c>
      <c r="D9" s="108" t="s">
        <v>97</v>
      </c>
      <c r="E9" s="108" t="s">
        <v>98</v>
      </c>
      <c r="F9" s="108" t="s">
        <v>99</v>
      </c>
      <c r="G9" s="108" t="s">
        <v>100</v>
      </c>
      <c r="H9" s="108" t="s">
        <v>101</v>
      </c>
      <c r="I9" s="108" t="s">
        <v>102</v>
      </c>
      <c r="J9" s="108" t="s">
        <v>103</v>
      </c>
      <c r="K9" s="108" t="s">
        <v>104</v>
      </c>
      <c r="L9" s="108" t="s">
        <v>105</v>
      </c>
      <c r="M9" s="108" t="s">
        <v>106</v>
      </c>
      <c r="N9" s="108" t="s">
        <v>107</v>
      </c>
    </row>
    <row r="10" spans="1:17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7" ht="102.75" thickBot="1">
      <c r="A11" s="110" t="s">
        <v>108</v>
      </c>
      <c r="B11" s="110" t="s">
        <v>109</v>
      </c>
      <c r="C11" s="110" t="s">
        <v>110</v>
      </c>
      <c r="D11" s="110" t="s">
        <v>111</v>
      </c>
      <c r="E11" s="110" t="s">
        <v>112</v>
      </c>
      <c r="F11" s="110" t="s">
        <v>113</v>
      </c>
      <c r="G11" s="110" t="s">
        <v>114</v>
      </c>
      <c r="H11" s="110" t="s">
        <v>115</v>
      </c>
      <c r="I11" s="110" t="s">
        <v>116</v>
      </c>
      <c r="J11" s="110" t="s">
        <v>117</v>
      </c>
      <c r="K11" s="110" t="s">
        <v>118</v>
      </c>
      <c r="L11" s="110" t="s">
        <v>119</v>
      </c>
      <c r="M11" s="110" t="s">
        <v>120</v>
      </c>
      <c r="N11" s="110" t="s">
        <v>121</v>
      </c>
    </row>
    <row r="12" spans="1:17">
      <c r="A12" s="111" t="s">
        <v>122</v>
      </c>
      <c r="B12" s="112" t="s">
        <v>123</v>
      </c>
      <c r="C12" s="113"/>
      <c r="D12" s="113"/>
      <c r="E12" s="113"/>
      <c r="F12" s="113"/>
      <c r="G12" s="113"/>
      <c r="H12" s="113"/>
      <c r="I12" s="113"/>
      <c r="J12" s="114"/>
      <c r="K12" s="113"/>
      <c r="L12" s="114"/>
      <c r="M12" s="113"/>
      <c r="N12" s="113"/>
    </row>
    <row r="13" spans="1:17">
      <c r="A13" s="111" t="s">
        <v>124</v>
      </c>
      <c r="B13" s="162">
        <v>4.1000000000000002E-2</v>
      </c>
      <c r="C13" s="116" t="s">
        <v>126</v>
      </c>
      <c r="D13" s="116" t="s">
        <v>127</v>
      </c>
      <c r="E13" s="114">
        <v>650000</v>
      </c>
      <c r="F13" s="117">
        <v>100000</v>
      </c>
      <c r="G13" s="114">
        <v>0</v>
      </c>
      <c r="H13" s="114">
        <v>5687.5000000000009</v>
      </c>
      <c r="I13" s="118">
        <v>30</v>
      </c>
      <c r="J13" s="114">
        <v>24.21141823190246</v>
      </c>
      <c r="K13" s="146">
        <f>F13*B13</f>
        <v>4100</v>
      </c>
      <c r="L13" s="146">
        <f>J13+K13</f>
        <v>4124.2114182319028</v>
      </c>
      <c r="M13" s="114">
        <v>0</v>
      </c>
      <c r="N13" s="114">
        <v>872.49033402199211</v>
      </c>
      <c r="P13" s="159"/>
      <c r="Q13" s="160"/>
    </row>
    <row r="14" spans="1:17">
      <c r="A14" s="111" t="s">
        <v>128</v>
      </c>
      <c r="B14" s="162">
        <v>4.1000000000000002E-2</v>
      </c>
      <c r="C14" s="116" t="s">
        <v>130</v>
      </c>
      <c r="D14" s="116" t="s">
        <v>131</v>
      </c>
      <c r="E14" s="114">
        <v>800000</v>
      </c>
      <c r="F14" s="117">
        <v>800000</v>
      </c>
      <c r="G14" s="114">
        <v>0</v>
      </c>
      <c r="H14" s="114">
        <v>7000</v>
      </c>
      <c r="I14" s="118">
        <v>30</v>
      </c>
      <c r="J14" s="114">
        <v>233.31217845713439</v>
      </c>
      <c r="K14" s="146">
        <f>F14*B14</f>
        <v>32800</v>
      </c>
      <c r="L14" s="146">
        <f>J14+K14</f>
        <v>33033.312178457134</v>
      </c>
      <c r="M14" s="114">
        <v>0</v>
      </c>
      <c r="N14" s="114">
        <v>6853.545242178323</v>
      </c>
      <c r="P14" s="159"/>
      <c r="Q14" s="160"/>
    </row>
    <row r="15" spans="1:17">
      <c r="A15" s="111" t="s">
        <v>132</v>
      </c>
      <c r="B15" s="162">
        <v>4.1000000000000002E-2</v>
      </c>
      <c r="C15" s="116" t="s">
        <v>133</v>
      </c>
      <c r="D15" s="116" t="s">
        <v>134</v>
      </c>
      <c r="E15" s="114">
        <v>500000</v>
      </c>
      <c r="F15" s="117">
        <v>500000</v>
      </c>
      <c r="G15" s="114">
        <v>0</v>
      </c>
      <c r="H15" s="114">
        <v>4375</v>
      </c>
      <c r="I15" s="118">
        <v>30</v>
      </c>
      <c r="J15" s="114">
        <v>145.82011153570897</v>
      </c>
      <c r="K15" s="146">
        <f>F15*B15</f>
        <v>20500</v>
      </c>
      <c r="L15" s="146">
        <f>J15+K15</f>
        <v>20645.820111535708</v>
      </c>
      <c r="M15" s="114">
        <v>0</v>
      </c>
      <c r="N15" s="114">
        <v>4186.2523686709783</v>
      </c>
      <c r="P15" s="159"/>
      <c r="Q15" s="160"/>
    </row>
    <row r="16" spans="1:17">
      <c r="A16" s="111" t="s">
        <v>135</v>
      </c>
      <c r="B16" s="115" t="s">
        <v>136</v>
      </c>
      <c r="C16" s="116" t="s">
        <v>137</v>
      </c>
      <c r="D16" s="116" t="s">
        <v>138</v>
      </c>
      <c r="E16" s="114">
        <v>500000</v>
      </c>
      <c r="F16" s="117">
        <v>500000</v>
      </c>
      <c r="G16" s="114">
        <v>1905</v>
      </c>
      <c r="H16" s="114">
        <v>5650</v>
      </c>
      <c r="I16" s="118">
        <v>10</v>
      </c>
      <c r="J16" s="114">
        <v>750.66930260869583</v>
      </c>
      <c r="K16" s="114">
        <v>13750.000000000002</v>
      </c>
      <c r="L16" s="114">
        <v>14500.669302608698</v>
      </c>
      <c r="M16" s="114">
        <v>936.625</v>
      </c>
      <c r="N16" s="114">
        <v>2754.165737826087</v>
      </c>
      <c r="P16" s="159"/>
      <c r="Q16" s="160"/>
    </row>
    <row r="17" spans="1:17">
      <c r="A17" s="111" t="s">
        <v>139</v>
      </c>
      <c r="B17" s="115" t="s">
        <v>140</v>
      </c>
      <c r="C17" s="116" t="s">
        <v>141</v>
      </c>
      <c r="D17" s="116" t="s">
        <v>142</v>
      </c>
      <c r="E17" s="114">
        <v>500000</v>
      </c>
      <c r="F17" s="117">
        <v>418172</v>
      </c>
      <c r="G17" s="114">
        <v>6480</v>
      </c>
      <c r="H17" s="114">
        <v>2199.0569799999998</v>
      </c>
      <c r="I17" s="118">
        <v>31</v>
      </c>
      <c r="J17" s="114">
        <v>279.96969567567606</v>
      </c>
      <c r="K17" s="114">
        <v>23522.174999999999</v>
      </c>
      <c r="L17" s="114">
        <v>23802.144695675674</v>
      </c>
      <c r="M17" s="114">
        <v>3291.0244868918967</v>
      </c>
      <c r="N17" s="114">
        <v>1118.4982200000004</v>
      </c>
      <c r="P17" s="159"/>
      <c r="Q17" s="160"/>
    </row>
    <row r="18" spans="1:17">
      <c r="A18" s="111" t="s">
        <v>143</v>
      </c>
      <c r="B18" s="115" t="s">
        <v>144</v>
      </c>
      <c r="C18" s="116" t="s">
        <v>145</v>
      </c>
      <c r="D18" s="116" t="s">
        <v>146</v>
      </c>
      <c r="E18" s="114">
        <v>300000</v>
      </c>
      <c r="F18" s="117">
        <v>229586</v>
      </c>
      <c r="G18" s="114">
        <v>4030</v>
      </c>
      <c r="H18" s="114">
        <v>1593.9194026842999</v>
      </c>
      <c r="I18" s="118">
        <v>30.083333333333332</v>
      </c>
      <c r="J18" s="114">
        <v>186.7476094999999</v>
      </c>
      <c r="K18" s="114">
        <v>12397.644000000002</v>
      </c>
      <c r="L18" s="114">
        <v>12584.391609500002</v>
      </c>
      <c r="M18" s="114">
        <v>2305.3047228749961</v>
      </c>
      <c r="N18" s="114">
        <v>916.09154100000103</v>
      </c>
      <c r="P18" s="159"/>
      <c r="Q18" s="160"/>
    </row>
    <row r="19" spans="1:17">
      <c r="A19" s="111" t="s">
        <v>147</v>
      </c>
      <c r="B19" s="115" t="s">
        <v>148</v>
      </c>
      <c r="C19" s="116" t="s">
        <v>149</v>
      </c>
      <c r="D19" s="116" t="s">
        <v>150</v>
      </c>
      <c r="E19" s="114">
        <v>400000</v>
      </c>
      <c r="F19" s="117">
        <v>394991</v>
      </c>
      <c r="G19" s="114">
        <v>6364</v>
      </c>
      <c r="H19" s="114">
        <v>1996.1578276349001</v>
      </c>
      <c r="I19" s="118">
        <v>31.083333333333332</v>
      </c>
      <c r="J19" s="114">
        <v>268.95969937500007</v>
      </c>
      <c r="K19" s="114">
        <v>22316.9915</v>
      </c>
      <c r="L19" s="114">
        <v>22585.951199374998</v>
      </c>
      <c r="M19" s="114">
        <v>3805.3867056250024</v>
      </c>
      <c r="N19" s="114">
        <v>1192.7810410937486</v>
      </c>
      <c r="P19" s="159"/>
      <c r="Q19" s="160"/>
    </row>
    <row r="20" spans="1:17">
      <c r="A20" s="111" t="s">
        <v>151</v>
      </c>
      <c r="B20" s="115" t="s">
        <v>152</v>
      </c>
      <c r="C20" s="116" t="s">
        <v>153</v>
      </c>
      <c r="D20" s="116" t="s">
        <v>154</v>
      </c>
      <c r="E20" s="114">
        <v>300000</v>
      </c>
      <c r="F20" s="117">
        <v>219161</v>
      </c>
      <c r="G20" s="114">
        <v>2693</v>
      </c>
      <c r="H20" s="114">
        <v>1738.1988999999999</v>
      </c>
      <c r="I20" s="118">
        <v>30</v>
      </c>
      <c r="J20" s="114">
        <v>148.14823983772828</v>
      </c>
      <c r="K20" s="114">
        <v>13587.982000000002</v>
      </c>
      <c r="L20" s="114">
        <v>13736.13023983773</v>
      </c>
      <c r="M20" s="114">
        <v>1602.0937450709966</v>
      </c>
      <c r="N20" s="114">
        <v>1033.7103553752527</v>
      </c>
      <c r="P20" s="159"/>
      <c r="Q20" s="160"/>
    </row>
    <row r="21" spans="1:17">
      <c r="A21" s="111" t="s">
        <v>155</v>
      </c>
      <c r="B21" s="115" t="s">
        <v>156</v>
      </c>
      <c r="C21" s="116" t="s">
        <v>157</v>
      </c>
      <c r="D21" s="116" t="s">
        <v>158</v>
      </c>
      <c r="E21" s="114">
        <v>300000</v>
      </c>
      <c r="F21" s="117">
        <v>300000</v>
      </c>
      <c r="G21" s="114">
        <v>4893</v>
      </c>
      <c r="H21" s="114">
        <v>1634.9651999999999</v>
      </c>
      <c r="I21" s="118">
        <v>30</v>
      </c>
      <c r="J21" s="114">
        <v>217.59881898305073</v>
      </c>
      <c r="K21" s="114">
        <v>14850</v>
      </c>
      <c r="L21" s="114">
        <v>15067.59881898305</v>
      </c>
      <c r="M21" s="114">
        <v>2759.1079777966061</v>
      </c>
      <c r="N21" s="114">
        <v>921.93871000000115</v>
      </c>
      <c r="P21" s="159"/>
      <c r="Q21" s="160"/>
    </row>
    <row r="22" spans="1:17">
      <c r="A22" s="111" t="s">
        <v>159</v>
      </c>
      <c r="B22" s="115" t="s">
        <v>160</v>
      </c>
      <c r="C22" s="116" t="s">
        <v>161</v>
      </c>
      <c r="D22" s="116" t="s">
        <v>162</v>
      </c>
      <c r="E22" s="114">
        <v>200000</v>
      </c>
      <c r="F22" s="117">
        <v>170695</v>
      </c>
      <c r="G22" s="114">
        <v>2212</v>
      </c>
      <c r="H22" s="114">
        <v>910.97675841360001</v>
      </c>
      <c r="I22" s="118">
        <v>30.166666666666668</v>
      </c>
      <c r="J22" s="114">
        <v>103.52415288461536</v>
      </c>
      <c r="K22" s="114">
        <v>9985.6574999999993</v>
      </c>
      <c r="L22" s="114">
        <v>10089.181652884616</v>
      </c>
      <c r="M22" s="114">
        <v>1069.2172295673083</v>
      </c>
      <c r="N22" s="114">
        <v>440.50999999999965</v>
      </c>
      <c r="P22" s="159"/>
      <c r="Q22" s="160"/>
    </row>
    <row r="23" spans="1:17">
      <c r="A23" s="111" t="s">
        <v>163</v>
      </c>
      <c r="B23" s="115" t="s">
        <v>160</v>
      </c>
      <c r="C23" s="116" t="s">
        <v>164</v>
      </c>
      <c r="D23" s="116" t="s">
        <v>165</v>
      </c>
      <c r="E23" s="114">
        <v>300000</v>
      </c>
      <c r="F23" s="117">
        <v>230521</v>
      </c>
      <c r="G23" s="114">
        <v>600</v>
      </c>
      <c r="H23" s="114">
        <v>4097.3441145185998</v>
      </c>
      <c r="I23" s="118">
        <v>30.083333333333332</v>
      </c>
      <c r="J23" s="114">
        <v>156.35639722007735</v>
      </c>
      <c r="K23" s="114">
        <v>13485.478499999999</v>
      </c>
      <c r="L23" s="114">
        <v>13641.834897220077</v>
      </c>
      <c r="M23" s="114">
        <v>375.62324764478711</v>
      </c>
      <c r="N23" s="114">
        <v>2569.0889000000034</v>
      </c>
      <c r="P23" s="159"/>
      <c r="Q23" s="160"/>
    </row>
    <row r="24" spans="1:17">
      <c r="A24" s="111" t="s">
        <v>166</v>
      </c>
      <c r="B24" s="115" t="s">
        <v>167</v>
      </c>
      <c r="C24" s="116" t="s">
        <v>168</v>
      </c>
      <c r="D24" s="116" t="s">
        <v>169</v>
      </c>
      <c r="E24" s="114">
        <v>600000</v>
      </c>
      <c r="F24" s="117">
        <v>600000</v>
      </c>
      <c r="G24" s="114">
        <v>3260</v>
      </c>
      <c r="H24" s="114">
        <v>7838.8020777156999</v>
      </c>
      <c r="I24" s="118">
        <v>30.083333333333332</v>
      </c>
      <c r="J24" s="114">
        <v>369.34802014925322</v>
      </c>
      <c r="K24" s="114">
        <v>35700</v>
      </c>
      <c r="L24" s="114">
        <v>36069.348020149257</v>
      </c>
      <c r="M24" s="114">
        <v>2124.7646445895498</v>
      </c>
      <c r="N24" s="114">
        <v>5108.3007499999931</v>
      </c>
      <c r="P24" s="159"/>
      <c r="Q24" s="160"/>
    </row>
    <row r="25" spans="1:17">
      <c r="A25" s="111" t="s">
        <v>170</v>
      </c>
      <c r="B25" s="115" t="s">
        <v>171</v>
      </c>
      <c r="C25" s="116" t="s">
        <v>172</v>
      </c>
      <c r="D25" s="116" t="s">
        <v>173</v>
      </c>
      <c r="E25" s="114">
        <v>500000</v>
      </c>
      <c r="F25" s="117">
        <v>500000</v>
      </c>
      <c r="G25" s="114">
        <v>499.63499999999999</v>
      </c>
      <c r="H25" s="114">
        <v>6256.2488130922002</v>
      </c>
      <c r="I25" s="118">
        <v>30.083333333333332</v>
      </c>
      <c r="J25" s="114">
        <v>232.65432468085064</v>
      </c>
      <c r="K25" s="114">
        <v>29799.999999999996</v>
      </c>
      <c r="L25" s="114">
        <v>30032.654324680847</v>
      </c>
      <c r="M25" s="114">
        <v>251.7590171276598</v>
      </c>
      <c r="N25" s="114">
        <v>4575.8182199999901</v>
      </c>
      <c r="P25" s="159"/>
      <c r="Q25" s="160"/>
    </row>
    <row r="26" spans="1:17">
      <c r="A26" s="111" t="s">
        <v>174</v>
      </c>
      <c r="B26" s="115" t="s">
        <v>175</v>
      </c>
      <c r="C26" s="116" t="s">
        <v>176</v>
      </c>
      <c r="D26" s="116" t="s">
        <v>177</v>
      </c>
      <c r="E26" s="114">
        <v>400000</v>
      </c>
      <c r="F26" s="117">
        <v>400000</v>
      </c>
      <c r="G26" s="114">
        <v>989</v>
      </c>
      <c r="H26" s="114">
        <v>5408.2598802127995</v>
      </c>
      <c r="I26" s="118">
        <v>30.166666666666668</v>
      </c>
      <c r="J26" s="114">
        <v>205.95012000000011</v>
      </c>
      <c r="K26" s="114">
        <v>20999.999999999996</v>
      </c>
      <c r="L26" s="114">
        <v>21205.950119999998</v>
      </c>
      <c r="M26" s="114">
        <v>742.62943000000132</v>
      </c>
      <c r="N26" s="114">
        <v>3908.4107800000011</v>
      </c>
      <c r="P26" s="159"/>
      <c r="Q26" s="160"/>
    </row>
    <row r="27" spans="1:17">
      <c r="A27" s="111" t="s">
        <v>178</v>
      </c>
      <c r="B27" s="115" t="s">
        <v>179</v>
      </c>
      <c r="C27" s="116" t="s">
        <v>180</v>
      </c>
      <c r="D27" s="116" t="s">
        <v>181</v>
      </c>
      <c r="E27" s="114">
        <v>500000</v>
      </c>
      <c r="F27" s="117">
        <v>500000</v>
      </c>
      <c r="G27" s="114">
        <v>670</v>
      </c>
      <c r="H27" s="114">
        <v>6890</v>
      </c>
      <c r="I27" s="118">
        <v>30</v>
      </c>
      <c r="J27" s="114">
        <v>252.3468660512826</v>
      </c>
      <c r="K27" s="114">
        <v>28450.000000000015</v>
      </c>
      <c r="L27" s="114">
        <v>28702.346866051299</v>
      </c>
      <c r="M27" s="114">
        <v>482.44490482051242</v>
      </c>
      <c r="N27" s="114">
        <v>4974.5560735384761</v>
      </c>
      <c r="P27" s="159"/>
      <c r="Q27" s="160"/>
    </row>
    <row r="28" spans="1:17">
      <c r="A28" s="111" t="s">
        <v>182</v>
      </c>
      <c r="B28" s="115" t="s">
        <v>183</v>
      </c>
      <c r="C28" s="116" t="s">
        <v>184</v>
      </c>
      <c r="D28" s="116" t="s">
        <v>185</v>
      </c>
      <c r="E28" s="114">
        <v>250000</v>
      </c>
      <c r="F28" s="117">
        <v>250000</v>
      </c>
      <c r="G28" s="114">
        <v>225</v>
      </c>
      <c r="H28" s="114">
        <v>3488</v>
      </c>
      <c r="I28" s="118">
        <v>30</v>
      </c>
      <c r="J28" s="114">
        <v>117.97319999999988</v>
      </c>
      <c r="K28" s="114">
        <v>12812.500000000002</v>
      </c>
      <c r="L28" s="114">
        <v>12930.4732</v>
      </c>
      <c r="M28" s="114">
        <v>171.875</v>
      </c>
      <c r="N28" s="114">
        <v>2531.6774999999966</v>
      </c>
      <c r="P28" s="159"/>
      <c r="Q28" s="160"/>
    </row>
    <row r="29" spans="1:17">
      <c r="A29" s="111" t="s">
        <v>186</v>
      </c>
      <c r="B29" s="115" t="s">
        <v>148</v>
      </c>
      <c r="C29" s="116" t="s">
        <v>187</v>
      </c>
      <c r="D29" s="116" t="s">
        <v>188</v>
      </c>
      <c r="E29" s="114">
        <v>240000</v>
      </c>
      <c r="F29" s="117">
        <v>204431</v>
      </c>
      <c r="G29" s="114">
        <v>2775</v>
      </c>
      <c r="H29" s="114">
        <v>1260.4268872463999</v>
      </c>
      <c r="I29" s="118">
        <v>31.083333333333332</v>
      </c>
      <c r="J29" s="114">
        <v>129.82613172413778</v>
      </c>
      <c r="K29" s="114">
        <v>11550.351500000001</v>
      </c>
      <c r="L29" s="114">
        <v>11680.177631724138</v>
      </c>
      <c r="M29" s="114">
        <v>1477.7350577586196</v>
      </c>
      <c r="N29" s="114">
        <v>675.21495999999888</v>
      </c>
      <c r="P29" s="159"/>
      <c r="Q29" s="160"/>
    </row>
    <row r="30" spans="1:17">
      <c r="A30" s="111" t="s">
        <v>189</v>
      </c>
      <c r="B30" s="115" t="s">
        <v>167</v>
      </c>
      <c r="C30" s="116" t="s">
        <v>190</v>
      </c>
      <c r="D30" s="116" t="s">
        <v>191</v>
      </c>
      <c r="E30" s="114">
        <v>300000</v>
      </c>
      <c r="F30" s="117">
        <v>272444</v>
      </c>
      <c r="G30" s="114">
        <v>5802</v>
      </c>
      <c r="H30" s="114">
        <v>1526.6618999999998</v>
      </c>
      <c r="I30" s="118">
        <v>30</v>
      </c>
      <c r="J30" s="114">
        <v>244.28873333333371</v>
      </c>
      <c r="K30" s="114">
        <v>16210.417999999998</v>
      </c>
      <c r="L30" s="114">
        <v>16454.706733333333</v>
      </c>
      <c r="M30" s="114">
        <v>2949.3495933333379</v>
      </c>
      <c r="N30" s="114">
        <v>776.05359000000067</v>
      </c>
      <c r="P30" s="159"/>
      <c r="Q30" s="160"/>
    </row>
    <row r="31" spans="1:17">
      <c r="A31" s="111" t="s">
        <v>192</v>
      </c>
      <c r="B31" s="115" t="s">
        <v>193</v>
      </c>
      <c r="C31" s="116" t="s">
        <v>194</v>
      </c>
      <c r="D31" s="116" t="s">
        <v>195</v>
      </c>
      <c r="E31" s="114">
        <v>600000</v>
      </c>
      <c r="F31" s="117">
        <v>600000</v>
      </c>
      <c r="G31" s="114">
        <v>1482</v>
      </c>
      <c r="H31" s="114">
        <v>8250</v>
      </c>
      <c r="I31" s="118">
        <v>30.166666666666668</v>
      </c>
      <c r="J31" s="114">
        <v>318.52271810126632</v>
      </c>
      <c r="K31" s="114">
        <v>24750</v>
      </c>
      <c r="L31" s="114">
        <v>25068.522718101267</v>
      </c>
      <c r="M31" s="114">
        <v>1158.5793152215181</v>
      </c>
      <c r="N31" s="114">
        <v>6353.2481200000111</v>
      </c>
      <c r="P31" s="159"/>
      <c r="Q31" s="160"/>
    </row>
    <row r="32" spans="1:17">
      <c r="A32" s="111" t="s">
        <v>196</v>
      </c>
      <c r="B32" s="115" t="s">
        <v>197</v>
      </c>
      <c r="C32" s="116" t="s">
        <v>198</v>
      </c>
      <c r="D32" s="116" t="s">
        <v>199</v>
      </c>
      <c r="E32" s="114">
        <v>400000</v>
      </c>
      <c r="F32" s="117">
        <v>400000</v>
      </c>
      <c r="G32" s="114">
        <v>1984</v>
      </c>
      <c r="H32" s="114">
        <v>5700</v>
      </c>
      <c r="I32" s="118">
        <v>30</v>
      </c>
      <c r="J32" s="114">
        <v>240.96783840735026</v>
      </c>
      <c r="K32" s="114">
        <v>15199.999999999998</v>
      </c>
      <c r="L32" s="114">
        <v>15440.967838407349</v>
      </c>
      <c r="M32" s="114">
        <v>1617.5107805053576</v>
      </c>
      <c r="N32" s="114">
        <v>4276.1609338744192</v>
      </c>
      <c r="P32" s="159"/>
      <c r="Q32" s="160"/>
    </row>
    <row r="33" spans="1:17">
      <c r="A33" s="111" t="s">
        <v>200</v>
      </c>
      <c r="B33" s="115" t="s">
        <v>201</v>
      </c>
      <c r="C33" s="116" t="s">
        <v>202</v>
      </c>
      <c r="D33" s="116" t="s">
        <v>203</v>
      </c>
      <c r="E33" s="114">
        <v>600000</v>
      </c>
      <c r="F33" s="117">
        <v>600000</v>
      </c>
      <c r="G33" s="114">
        <v>840</v>
      </c>
      <c r="H33" s="114">
        <v>8150</v>
      </c>
      <c r="I33" s="118">
        <v>30.083333333333332</v>
      </c>
      <c r="J33" s="114">
        <v>290.27771999999936</v>
      </c>
      <c r="K33" s="114">
        <v>24300</v>
      </c>
      <c r="L33" s="114">
        <v>24590.277719999998</v>
      </c>
      <c r="M33" s="114">
        <v>667.81169000000011</v>
      </c>
      <c r="N33" s="114">
        <v>6274.6637799999862</v>
      </c>
      <c r="P33" s="159"/>
      <c r="Q33" s="160"/>
    </row>
    <row r="34" spans="1:17">
      <c r="A34" s="111" t="s">
        <v>204</v>
      </c>
      <c r="B34" s="115" t="s">
        <v>201</v>
      </c>
      <c r="C34" s="116" t="s">
        <v>205</v>
      </c>
      <c r="D34" s="116" t="s">
        <v>206</v>
      </c>
      <c r="E34" s="114">
        <v>500000</v>
      </c>
      <c r="F34" s="117">
        <v>500000</v>
      </c>
      <c r="G34" s="114">
        <v>1650</v>
      </c>
      <c r="H34" s="114">
        <v>6775</v>
      </c>
      <c r="I34" s="118">
        <v>30.083333333333332</v>
      </c>
      <c r="J34" s="114">
        <v>277.57019604017182</v>
      </c>
      <c r="K34" s="114">
        <v>20250</v>
      </c>
      <c r="L34" s="114">
        <v>20527.570196040171</v>
      </c>
      <c r="M34" s="114">
        <v>1439.9670589383079</v>
      </c>
      <c r="N34" s="114">
        <v>5857.8160119512122</v>
      </c>
      <c r="P34" s="159"/>
      <c r="Q34" s="160"/>
    </row>
    <row r="35" spans="1:17">
      <c r="A35" s="111" t="s">
        <v>207</v>
      </c>
      <c r="B35" s="115" t="s">
        <v>208</v>
      </c>
      <c r="C35" s="116" t="s">
        <v>209</v>
      </c>
      <c r="D35" s="116" t="s">
        <v>210</v>
      </c>
      <c r="E35" s="114">
        <v>500000</v>
      </c>
      <c r="F35" s="117">
        <v>500000</v>
      </c>
      <c r="G35" s="114">
        <v>645</v>
      </c>
      <c r="H35" s="114">
        <v>5650</v>
      </c>
      <c r="I35" s="118">
        <v>10.083333333333334</v>
      </c>
      <c r="J35" s="114">
        <v>643.48515807692286</v>
      </c>
      <c r="K35" s="114">
        <v>16249.999999999998</v>
      </c>
      <c r="L35" s="114">
        <v>16893.485158076921</v>
      </c>
      <c r="M35" s="114">
        <v>378.47117999999966</v>
      </c>
      <c r="N35" s="114">
        <v>3428.81600528846</v>
      </c>
      <c r="P35" s="159"/>
      <c r="Q35" s="160"/>
    </row>
    <row r="36" spans="1:17">
      <c r="A36" s="111" t="s">
        <v>211</v>
      </c>
      <c r="B36" s="115" t="s">
        <v>212</v>
      </c>
      <c r="C36" s="116" t="s">
        <v>213</v>
      </c>
      <c r="D36" s="116" t="s">
        <v>214</v>
      </c>
      <c r="E36" s="114">
        <v>600000</v>
      </c>
      <c r="F36" s="117">
        <v>600000</v>
      </c>
      <c r="G36" s="114">
        <v>0</v>
      </c>
      <c r="H36" s="114">
        <v>6600</v>
      </c>
      <c r="I36" s="118">
        <v>10</v>
      </c>
      <c r="J36" s="114">
        <v>524.8632788763698</v>
      </c>
      <c r="K36" s="114">
        <v>18000</v>
      </c>
      <c r="L36" s="114">
        <v>18524.863278876372</v>
      </c>
      <c r="M36" s="114">
        <v>0</v>
      </c>
      <c r="N36" s="114">
        <v>3870.8666817132266</v>
      </c>
      <c r="P36" s="159"/>
      <c r="Q36" s="160"/>
    </row>
    <row r="37" spans="1:17">
      <c r="A37" s="111" t="s">
        <v>215</v>
      </c>
      <c r="B37" s="115" t="s">
        <v>216</v>
      </c>
      <c r="C37" s="116" t="s">
        <v>217</v>
      </c>
      <c r="D37" s="116" t="s">
        <v>218</v>
      </c>
      <c r="E37" s="114">
        <v>300000</v>
      </c>
      <c r="F37" s="117">
        <v>300000</v>
      </c>
      <c r="G37" s="114">
        <v>0</v>
      </c>
      <c r="H37" s="114">
        <v>2625</v>
      </c>
      <c r="I37" s="118">
        <v>30</v>
      </c>
      <c r="J37" s="114">
        <v>87.49206692142522</v>
      </c>
      <c r="K37" s="114">
        <v>15690.000000000002</v>
      </c>
      <c r="L37" s="114">
        <v>15777.492066921428</v>
      </c>
      <c r="M37" s="114">
        <v>0</v>
      </c>
      <c r="N37" s="114">
        <v>2424.2593542811569</v>
      </c>
      <c r="P37" s="159"/>
      <c r="Q37" s="160"/>
    </row>
    <row r="38" spans="1:17">
      <c r="A38" s="111" t="s">
        <v>219</v>
      </c>
      <c r="B38" s="162">
        <v>4.1000000000000002E-2</v>
      </c>
      <c r="C38" s="116" t="s">
        <v>221</v>
      </c>
      <c r="D38" s="116" t="s">
        <v>222</v>
      </c>
      <c r="E38" s="114">
        <v>500000</v>
      </c>
      <c r="F38" s="117">
        <v>423076.92307692306</v>
      </c>
      <c r="G38" s="114">
        <v>0</v>
      </c>
      <c r="H38" s="114">
        <v>4375</v>
      </c>
      <c r="I38" s="118">
        <v>30</v>
      </c>
      <c r="J38" s="114">
        <v>127.98925152247594</v>
      </c>
      <c r="K38" s="146">
        <f>F38*B38</f>
        <v>17346.153846153848</v>
      </c>
      <c r="L38" s="146">
        <f>J38+K38</f>
        <v>17474.143097676322</v>
      </c>
      <c r="M38" s="114">
        <v>0</v>
      </c>
      <c r="N38" s="114">
        <v>3645.0354162403669</v>
      </c>
      <c r="P38" s="159"/>
      <c r="Q38" s="160"/>
    </row>
    <row r="39" spans="1:17">
      <c r="A39" s="111" t="s">
        <v>223</v>
      </c>
      <c r="P39" s="161"/>
      <c r="Q39" s="161"/>
    </row>
    <row r="40" spans="1:17">
      <c r="A40" s="111" t="s">
        <v>224</v>
      </c>
      <c r="B40" s="112" t="s">
        <v>225</v>
      </c>
      <c r="C40" s="113"/>
      <c r="D40" s="113"/>
      <c r="E40" s="113"/>
      <c r="F40" s="113"/>
      <c r="G40" s="113"/>
      <c r="H40" s="113"/>
      <c r="I40" s="113"/>
      <c r="J40" s="114"/>
      <c r="K40" s="113"/>
      <c r="L40" s="114"/>
      <c r="M40" s="113"/>
      <c r="N40" s="113"/>
      <c r="P40" s="161"/>
      <c r="Q40" s="161"/>
    </row>
    <row r="41" spans="1:17">
      <c r="A41" s="111" t="s">
        <v>226</v>
      </c>
      <c r="B41" s="115" t="s">
        <v>227</v>
      </c>
      <c r="C41" s="116" t="s">
        <v>228</v>
      </c>
      <c r="D41" s="116" t="s">
        <v>229</v>
      </c>
      <c r="E41" s="114">
        <v>288000</v>
      </c>
      <c r="F41" s="117">
        <v>100426.43799999999</v>
      </c>
      <c r="G41" s="114">
        <v>96</v>
      </c>
      <c r="H41" s="114">
        <v>3334</v>
      </c>
      <c r="I41" s="118">
        <v>12.25</v>
      </c>
      <c r="J41" s="114">
        <v>279.98711999999983</v>
      </c>
      <c r="K41" s="114">
        <v>5300.8283296880409</v>
      </c>
      <c r="L41" s="114">
        <v>5580.8154496880406</v>
      </c>
      <c r="M41" s="114">
        <v>4.3046900000000017</v>
      </c>
      <c r="N41" s="114">
        <v>299.01468999999986</v>
      </c>
      <c r="P41" s="161"/>
      <c r="Q41" s="161"/>
    </row>
    <row r="42" spans="1:17" ht="15.75" thickBot="1">
      <c r="A42" s="120"/>
      <c r="B42" s="121"/>
      <c r="C42" s="122"/>
      <c r="D42" s="122"/>
      <c r="E42" s="123"/>
      <c r="F42" s="124"/>
      <c r="G42" s="123"/>
      <c r="H42" s="123"/>
      <c r="I42" s="125"/>
      <c r="J42" s="123"/>
      <c r="K42" s="123"/>
      <c r="L42" s="123"/>
      <c r="M42" s="123"/>
      <c r="N42" s="123"/>
      <c r="P42" s="161"/>
      <c r="Q42" s="161"/>
    </row>
    <row r="43" spans="1:17">
      <c r="A43" s="126"/>
      <c r="B43" s="127" t="s">
        <v>230</v>
      </c>
      <c r="C43" s="128"/>
      <c r="D43" s="128"/>
      <c r="E43" s="129"/>
      <c r="F43" s="130"/>
      <c r="G43" s="129"/>
      <c r="H43" s="129"/>
      <c r="I43" s="131"/>
      <c r="J43" s="129"/>
      <c r="K43" s="129"/>
      <c r="L43" s="129"/>
      <c r="M43" s="129"/>
      <c r="N43" s="129" t="s">
        <v>231</v>
      </c>
      <c r="P43" s="161"/>
      <c r="Q43" s="161"/>
    </row>
    <row r="44" spans="1:17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</row>
    <row r="45" spans="1:17">
      <c r="A45" s="126" t="s">
        <v>122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7">
      <c r="A46" s="111" t="s">
        <v>124</v>
      </c>
      <c r="B46" s="112" t="s">
        <v>232</v>
      </c>
      <c r="C46" s="113"/>
      <c r="D46" s="113"/>
      <c r="E46" s="113"/>
      <c r="F46" s="113"/>
      <c r="G46" s="113"/>
      <c r="H46" s="113"/>
      <c r="I46" s="113"/>
      <c r="J46" s="114"/>
      <c r="K46" s="113"/>
      <c r="L46" s="114"/>
      <c r="M46" s="113"/>
      <c r="N46" s="113"/>
    </row>
    <row r="47" spans="1:17">
      <c r="A47" s="111" t="s">
        <v>128</v>
      </c>
      <c r="B47" s="115" t="s">
        <v>233</v>
      </c>
      <c r="C47" s="116" t="s">
        <v>213</v>
      </c>
      <c r="D47" s="116" t="s">
        <v>126</v>
      </c>
      <c r="E47" s="114">
        <v>600000</v>
      </c>
      <c r="F47" s="117">
        <v>507692.30769230769</v>
      </c>
      <c r="G47" s="114">
        <v>0</v>
      </c>
      <c r="H47" s="114">
        <v>32</v>
      </c>
      <c r="I47" s="118">
        <v>3</v>
      </c>
      <c r="J47" s="114">
        <v>874.35847964499249</v>
      </c>
      <c r="K47" s="114">
        <v>8199.2999999999993</v>
      </c>
      <c r="L47" s="114">
        <v>9073.6584796449933</v>
      </c>
      <c r="M47" s="114">
        <v>0</v>
      </c>
      <c r="N47" s="114">
        <v>3.7610000000000001</v>
      </c>
    </row>
    <row r="48" spans="1:17">
      <c r="A48" s="111" t="s">
        <v>132</v>
      </c>
    </row>
    <row r="49" spans="1:14">
      <c r="A49" s="111" t="s">
        <v>135</v>
      </c>
      <c r="B49" s="112" t="s">
        <v>234</v>
      </c>
      <c r="C49" s="113"/>
      <c r="D49" s="113"/>
      <c r="E49" s="113"/>
      <c r="F49" s="113"/>
      <c r="G49" s="113"/>
      <c r="H49" s="113"/>
      <c r="I49" s="113"/>
      <c r="J49" s="114"/>
      <c r="K49" s="113"/>
      <c r="L49" s="114"/>
      <c r="M49" s="113"/>
      <c r="N49" s="113"/>
    </row>
    <row r="50" spans="1:14">
      <c r="A50" s="111" t="s">
        <v>139</v>
      </c>
      <c r="B50" s="115" t="s">
        <v>235</v>
      </c>
      <c r="C50" s="116" t="s">
        <v>236</v>
      </c>
      <c r="D50" s="116" t="s">
        <v>237</v>
      </c>
      <c r="E50" s="114">
        <v>85000</v>
      </c>
      <c r="F50" s="117">
        <v>85000</v>
      </c>
      <c r="G50" s="114">
        <v>0</v>
      </c>
      <c r="H50" s="114">
        <v>720</v>
      </c>
      <c r="I50" s="118">
        <v>30</v>
      </c>
      <c r="J50" s="114">
        <v>16.482394382022488</v>
      </c>
      <c r="K50" s="114">
        <v>1352.6970833333335</v>
      </c>
      <c r="L50" s="114">
        <v>1369.1794777153561</v>
      </c>
      <c r="M50" s="114">
        <v>0</v>
      </c>
      <c r="N50" s="114">
        <v>580</v>
      </c>
    </row>
    <row r="51" spans="1:14">
      <c r="A51" s="111" t="s">
        <v>143</v>
      </c>
      <c r="B51" s="115" t="s">
        <v>238</v>
      </c>
      <c r="C51" s="116" t="s">
        <v>239</v>
      </c>
      <c r="D51" s="116" t="s">
        <v>240</v>
      </c>
      <c r="E51" s="114">
        <v>15000</v>
      </c>
      <c r="F51" s="117">
        <v>15000</v>
      </c>
      <c r="G51" s="114">
        <v>0</v>
      </c>
      <c r="H51" s="114">
        <v>520</v>
      </c>
      <c r="I51" s="118">
        <v>31.5</v>
      </c>
      <c r="J51" s="114">
        <v>16.501559999999969</v>
      </c>
      <c r="K51" s="114">
        <v>249.96125000000001</v>
      </c>
      <c r="L51" s="114">
        <v>266.46280999999993</v>
      </c>
      <c r="M51" s="114">
        <v>0</v>
      </c>
      <c r="N51" s="114">
        <v>75.632149999999882</v>
      </c>
    </row>
    <row r="52" spans="1:14">
      <c r="A52" s="111" t="s">
        <v>147</v>
      </c>
      <c r="B52" s="115" t="s">
        <v>238</v>
      </c>
      <c r="C52" s="116" t="s">
        <v>241</v>
      </c>
      <c r="D52" s="116" t="s">
        <v>242</v>
      </c>
      <c r="E52" s="114">
        <v>45750</v>
      </c>
      <c r="F52" s="117">
        <v>45750</v>
      </c>
      <c r="G52" s="114">
        <v>0</v>
      </c>
      <c r="H52" s="114">
        <v>711</v>
      </c>
      <c r="I52" s="118">
        <v>27.5</v>
      </c>
      <c r="J52" s="114">
        <v>25.844039999999982</v>
      </c>
      <c r="K52" s="114">
        <v>773.81931250000002</v>
      </c>
      <c r="L52" s="114">
        <v>799.66335250000009</v>
      </c>
      <c r="M52" s="114">
        <v>0</v>
      </c>
      <c r="N52" s="114">
        <v>75.378449999999972</v>
      </c>
    </row>
    <row r="53" spans="1:14">
      <c r="A53" s="111" t="s">
        <v>151</v>
      </c>
      <c r="B53" s="115" t="s">
        <v>243</v>
      </c>
      <c r="C53" s="116" t="s">
        <v>244</v>
      </c>
      <c r="D53" s="116" t="s">
        <v>245</v>
      </c>
      <c r="E53" s="114">
        <v>45960</v>
      </c>
      <c r="F53" s="117">
        <v>45960</v>
      </c>
      <c r="G53" s="114">
        <v>0</v>
      </c>
      <c r="H53" s="114">
        <v>397</v>
      </c>
      <c r="I53" s="118">
        <v>30.5</v>
      </c>
      <c r="J53" s="114">
        <v>13.006567850467263</v>
      </c>
      <c r="K53" s="114">
        <v>777.3712700000001</v>
      </c>
      <c r="L53" s="114">
        <v>790.37783785046747</v>
      </c>
      <c r="M53" s="114">
        <v>0</v>
      </c>
      <c r="N53" s="114">
        <v>80.207168411214809</v>
      </c>
    </row>
    <row r="54" spans="1:14">
      <c r="A54" s="111" t="s">
        <v>155</v>
      </c>
      <c r="B54" s="115" t="s">
        <v>246</v>
      </c>
      <c r="C54" s="116" t="s">
        <v>244</v>
      </c>
      <c r="D54" s="116" t="s">
        <v>245</v>
      </c>
      <c r="E54" s="114">
        <v>16510</v>
      </c>
      <c r="F54" s="117">
        <v>16510</v>
      </c>
      <c r="G54" s="114">
        <v>0</v>
      </c>
      <c r="H54" s="114">
        <v>132</v>
      </c>
      <c r="I54" s="118">
        <v>30.5</v>
      </c>
      <c r="J54" s="114">
        <v>4.3203600000000062</v>
      </c>
      <c r="K54" s="114">
        <v>279.25151583333331</v>
      </c>
      <c r="L54" s="114">
        <v>283.57187583333331</v>
      </c>
      <c r="M54" s="114">
        <v>0</v>
      </c>
      <c r="N54" s="114">
        <v>26.642220000000034</v>
      </c>
    </row>
    <row r="55" spans="1:14">
      <c r="A55" s="111" t="s">
        <v>159</v>
      </c>
      <c r="B55" s="115" t="s">
        <v>247</v>
      </c>
      <c r="C55" s="116" t="s">
        <v>244</v>
      </c>
      <c r="D55" s="116" t="s">
        <v>245</v>
      </c>
      <c r="E55" s="114">
        <v>4480</v>
      </c>
      <c r="F55" s="117">
        <v>4480</v>
      </c>
      <c r="G55" s="114">
        <v>0</v>
      </c>
      <c r="H55" s="114">
        <v>83</v>
      </c>
      <c r="I55" s="118">
        <v>30.5</v>
      </c>
      <c r="J55" s="114">
        <v>2.71692</v>
      </c>
      <c r="K55" s="114">
        <v>75.775093333333331</v>
      </c>
      <c r="L55" s="114">
        <v>78.492013333333333</v>
      </c>
      <c r="M55" s="114">
        <v>0</v>
      </c>
      <c r="N55" s="114">
        <v>16.754340000000003</v>
      </c>
    </row>
    <row r="56" spans="1:14">
      <c r="A56" s="111" t="s">
        <v>163</v>
      </c>
      <c r="B56" s="115" t="s">
        <v>243</v>
      </c>
      <c r="C56" s="116" t="s">
        <v>248</v>
      </c>
      <c r="D56" s="116" t="s">
        <v>249</v>
      </c>
      <c r="E56" s="114">
        <v>28300</v>
      </c>
      <c r="F56" s="117">
        <v>28300</v>
      </c>
      <c r="G56" s="114">
        <v>0</v>
      </c>
      <c r="H56" s="114">
        <v>371</v>
      </c>
      <c r="I56" s="118">
        <v>35</v>
      </c>
      <c r="J56" s="114">
        <v>10.59587999999998</v>
      </c>
      <c r="K56" s="114">
        <v>478.66855833333329</v>
      </c>
      <c r="L56" s="114">
        <v>489.26443833333332</v>
      </c>
      <c r="M56" s="114">
        <v>0</v>
      </c>
      <c r="N56" s="114">
        <v>93.596939999999847</v>
      </c>
    </row>
    <row r="57" spans="1:14">
      <c r="A57" s="111" t="s">
        <v>166</v>
      </c>
      <c r="B57" s="115" t="s">
        <v>238</v>
      </c>
      <c r="C57" s="116" t="s">
        <v>250</v>
      </c>
      <c r="D57" s="116" t="s">
        <v>251</v>
      </c>
      <c r="E57" s="114">
        <v>8635</v>
      </c>
      <c r="F57" s="117">
        <v>8635</v>
      </c>
      <c r="G57" s="114">
        <v>0</v>
      </c>
      <c r="H57" s="114">
        <v>182</v>
      </c>
      <c r="I57" s="118">
        <v>25.083333333333332</v>
      </c>
      <c r="J57" s="114">
        <v>7.26</v>
      </c>
      <c r="K57" s="114">
        <v>143.89435958333334</v>
      </c>
      <c r="L57" s="114">
        <v>151.15435958333333</v>
      </c>
      <c r="M57" s="114">
        <v>0</v>
      </c>
      <c r="N57" s="114">
        <v>12.705</v>
      </c>
    </row>
    <row r="58" spans="1:14">
      <c r="A58" s="111" t="s">
        <v>170</v>
      </c>
      <c r="B58" s="115" t="s">
        <v>243</v>
      </c>
      <c r="C58" s="116" t="s">
        <v>252</v>
      </c>
      <c r="D58" s="116" t="s">
        <v>253</v>
      </c>
      <c r="E58" s="114">
        <v>51940</v>
      </c>
      <c r="F58" s="117">
        <v>51940</v>
      </c>
      <c r="G58" s="114">
        <v>0</v>
      </c>
      <c r="H58" s="114">
        <v>345</v>
      </c>
      <c r="I58" s="118">
        <v>33.916666666666664</v>
      </c>
      <c r="J58" s="114">
        <v>10.182720000000007</v>
      </c>
      <c r="K58" s="114">
        <v>865.53248833333339</v>
      </c>
      <c r="L58" s="114">
        <v>875.71520833333341</v>
      </c>
      <c r="M58" s="114">
        <v>0</v>
      </c>
      <c r="N58" s="114">
        <v>110.31280000000007</v>
      </c>
    </row>
    <row r="59" spans="1:14">
      <c r="A59" s="111" t="s">
        <v>174</v>
      </c>
      <c r="B59" s="115" t="s">
        <v>254</v>
      </c>
      <c r="C59" s="116" t="s">
        <v>255</v>
      </c>
      <c r="D59" s="116" t="s">
        <v>256</v>
      </c>
      <c r="E59" s="114">
        <v>95700</v>
      </c>
      <c r="F59" s="117">
        <v>95700</v>
      </c>
      <c r="G59" s="114">
        <v>0</v>
      </c>
      <c r="H59" s="114">
        <v>499</v>
      </c>
      <c r="I59" s="118">
        <v>22.25</v>
      </c>
      <c r="J59" s="114">
        <v>22.489170370370363</v>
      </c>
      <c r="K59" s="114">
        <v>1618.6777750000001</v>
      </c>
      <c r="L59" s="114">
        <v>1641.1669453703705</v>
      </c>
      <c r="M59" s="114">
        <v>0</v>
      </c>
      <c r="N59" s="114">
        <v>89.956681481481439</v>
      </c>
    </row>
    <row r="60" spans="1:14">
      <c r="A60" s="111" t="s">
        <v>178</v>
      </c>
      <c r="B60" s="115" t="s">
        <v>257</v>
      </c>
      <c r="C60" s="116" t="s">
        <v>258</v>
      </c>
      <c r="D60" s="116" t="s">
        <v>259</v>
      </c>
      <c r="E60" s="114">
        <v>242210</v>
      </c>
      <c r="F60" s="117">
        <v>242210</v>
      </c>
      <c r="G60" s="114">
        <v>0</v>
      </c>
      <c r="H60" s="114">
        <v>570</v>
      </c>
      <c r="I60" s="118">
        <v>28</v>
      </c>
      <c r="J60" s="114">
        <v>20.368919999999996</v>
      </c>
      <c r="K60" s="114">
        <v>4036.2076241666668</v>
      </c>
      <c r="L60" s="114">
        <v>4056.5765441666667</v>
      </c>
      <c r="M60" s="114">
        <v>0</v>
      </c>
      <c r="N60" s="114">
        <v>207.08401999999987</v>
      </c>
    </row>
    <row r="61" spans="1:14">
      <c r="A61" s="111" t="s">
        <v>182</v>
      </c>
      <c r="B61" s="115" t="s">
        <v>257</v>
      </c>
      <c r="C61" s="116" t="s">
        <v>260</v>
      </c>
      <c r="D61" s="116" t="s">
        <v>261</v>
      </c>
      <c r="E61" s="114">
        <v>78785</v>
      </c>
      <c r="F61" s="117">
        <v>78785</v>
      </c>
      <c r="G61" s="114">
        <v>0</v>
      </c>
      <c r="H61" s="114">
        <v>442</v>
      </c>
      <c r="I61" s="118">
        <v>21</v>
      </c>
      <c r="J61" s="114">
        <v>21.05424000000005</v>
      </c>
      <c r="K61" s="114">
        <v>1312.8798054166664</v>
      </c>
      <c r="L61" s="114">
        <v>1333.9340454166663</v>
      </c>
      <c r="M61" s="114">
        <v>0</v>
      </c>
      <c r="N61" s="114">
        <v>122.81640000000029</v>
      </c>
    </row>
    <row r="62" spans="1:14" ht="15.75" thickBot="1">
      <c r="A62" s="111" t="s">
        <v>186</v>
      </c>
      <c r="B62" s="112" t="s">
        <v>262</v>
      </c>
      <c r="C62" s="116" t="s">
        <v>263</v>
      </c>
      <c r="D62" s="116" t="s">
        <v>263</v>
      </c>
      <c r="E62" s="114">
        <v>0</v>
      </c>
      <c r="F62" s="117">
        <v>0</v>
      </c>
      <c r="G62" s="114">
        <v>0</v>
      </c>
      <c r="H62" s="114">
        <v>0</v>
      </c>
      <c r="I62" s="118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86454.477148323553</v>
      </c>
    </row>
    <row r="63" spans="1:14" ht="15.75" thickTop="1">
      <c r="A63" s="111" t="s">
        <v>189</v>
      </c>
      <c r="B63" s="112" t="s">
        <v>264</v>
      </c>
      <c r="C63" s="113">
        <v>0</v>
      </c>
      <c r="D63" s="113">
        <v>0</v>
      </c>
      <c r="E63" s="132">
        <v>13146270</v>
      </c>
      <c r="F63" s="132">
        <v>11839466.668769231</v>
      </c>
      <c r="G63" s="132">
        <v>50094.635000000002</v>
      </c>
      <c r="H63" s="132">
        <v>126014.51874151851</v>
      </c>
      <c r="I63" s="113">
        <v>0</v>
      </c>
      <c r="J63" s="132">
        <v>7904.0416204422818</v>
      </c>
      <c r="K63" s="133">
        <f>SUM(K13:K61)</f>
        <v>514070.21631167526</v>
      </c>
      <c r="L63" s="133">
        <f>SUM(L13:L61)</f>
        <v>521974.25793211756</v>
      </c>
      <c r="M63" s="132">
        <v>29611.585477766461</v>
      </c>
      <c r="N63" s="132">
        <f>SUM(N13:N62)</f>
        <v>169788.30963526992</v>
      </c>
    </row>
    <row r="64" spans="1:14">
      <c r="A64" s="111" t="s">
        <v>192</v>
      </c>
      <c r="B64" s="112" t="s">
        <v>265</v>
      </c>
      <c r="C64" s="134">
        <v>0</v>
      </c>
      <c r="D64" s="116" t="s">
        <v>263</v>
      </c>
      <c r="E64" s="114">
        <v>0</v>
      </c>
      <c r="F64" s="117"/>
      <c r="G64" s="114">
        <v>0</v>
      </c>
      <c r="H64" s="114">
        <v>0</v>
      </c>
      <c r="I64" s="118">
        <v>0</v>
      </c>
      <c r="J64" s="114">
        <v>0</v>
      </c>
      <c r="K64" s="114">
        <v>0</v>
      </c>
      <c r="L64" s="114">
        <v>0</v>
      </c>
      <c r="M64" s="114">
        <v>0</v>
      </c>
      <c r="N64" s="114">
        <v>0</v>
      </c>
    </row>
    <row r="65" spans="1:14" ht="15.75" thickBot="1">
      <c r="A65" s="111" t="s">
        <v>196</v>
      </c>
      <c r="B65" s="112" t="s">
        <v>266</v>
      </c>
      <c r="C65" s="116" t="s">
        <v>263</v>
      </c>
      <c r="D65" s="116" t="s">
        <v>263</v>
      </c>
      <c r="E65" s="114">
        <v>0</v>
      </c>
      <c r="F65" s="135">
        <f>-SUM(M63:N63)</f>
        <v>-199399.89511303639</v>
      </c>
      <c r="G65" s="114">
        <v>0</v>
      </c>
      <c r="H65" s="114">
        <v>0</v>
      </c>
      <c r="I65" s="118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</row>
    <row r="66" spans="1:14" ht="15.75" thickTop="1">
      <c r="A66" s="111" t="s">
        <v>200</v>
      </c>
      <c r="B66" s="112" t="s">
        <v>267</v>
      </c>
      <c r="C66" s="113">
        <v>0</v>
      </c>
      <c r="D66" s="113">
        <v>0</v>
      </c>
      <c r="E66" s="113">
        <v>0</v>
      </c>
      <c r="F66" s="136">
        <f>SUM(F63:F65)</f>
        <v>11640066.773656195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</row>
    <row r="67" spans="1:14" ht="15.75" thickBot="1">
      <c r="A67" s="111" t="s">
        <v>204</v>
      </c>
      <c r="B67" s="112" t="s">
        <v>268</v>
      </c>
      <c r="C67" s="134">
        <v>0</v>
      </c>
      <c r="D67" s="113">
        <v>0</v>
      </c>
      <c r="E67" s="113">
        <v>0</v>
      </c>
      <c r="F67" s="137">
        <v>4.8216770056823441E-2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/>
    </row>
    <row r="68" spans="1:14" ht="15.75" thickTop="1">
      <c r="A68" s="111" t="s">
        <v>207</v>
      </c>
    </row>
    <row r="69" spans="1:14">
      <c r="A69" s="111" t="s">
        <v>211</v>
      </c>
      <c r="B69" s="138" t="s">
        <v>269</v>
      </c>
      <c r="C69" s="119" t="s">
        <v>270</v>
      </c>
      <c r="D69" s="119"/>
      <c r="E69" s="119"/>
      <c r="F69" s="139"/>
      <c r="G69" s="139">
        <f>F63-F41</f>
        <v>11739040.230769232</v>
      </c>
    </row>
    <row r="70" spans="1:14">
      <c r="A70" s="111" t="s">
        <v>215</v>
      </c>
      <c r="B70" s="119"/>
      <c r="C70" s="119" t="s">
        <v>271</v>
      </c>
      <c r="D70" s="119"/>
      <c r="E70" s="119"/>
      <c r="F70" s="140"/>
      <c r="G70" s="140">
        <f>F65+M41+N41</f>
        <v>-199096.57573303638</v>
      </c>
    </row>
    <row r="71" spans="1:14">
      <c r="A71" s="111"/>
      <c r="B71" s="112" t="s">
        <v>272</v>
      </c>
      <c r="C71" s="112" t="s">
        <v>272</v>
      </c>
      <c r="D71" s="119"/>
      <c r="E71" s="119"/>
      <c r="F71" s="119"/>
      <c r="G71" s="141">
        <v>-4630</v>
      </c>
    </row>
    <row r="72" spans="1:14">
      <c r="A72" s="111"/>
      <c r="B72" s="119"/>
      <c r="C72" s="119" t="s">
        <v>267</v>
      </c>
      <c r="D72" s="119"/>
      <c r="E72" s="119"/>
      <c r="F72" s="119"/>
      <c r="G72" s="139">
        <f>SUM(G69:G71)</f>
        <v>11535313.655036196</v>
      </c>
    </row>
    <row r="73" spans="1:14">
      <c r="A73" s="111"/>
      <c r="B73" s="119"/>
      <c r="C73" s="119"/>
      <c r="D73" s="119"/>
      <c r="E73" s="119"/>
      <c r="F73" s="119"/>
      <c r="G73" s="119"/>
    </row>
    <row r="74" spans="1:14">
      <c r="A74" s="111"/>
      <c r="B74" s="119"/>
      <c r="C74" s="119" t="s">
        <v>273</v>
      </c>
      <c r="D74" s="119"/>
      <c r="E74" s="119"/>
      <c r="F74" s="119"/>
      <c r="G74" s="139">
        <f>L63-L41</f>
        <v>516393.4424824295</v>
      </c>
    </row>
    <row r="75" spans="1:14">
      <c r="A75" s="111"/>
      <c r="B75" s="119"/>
      <c r="C75" s="119" t="s">
        <v>274</v>
      </c>
      <c r="D75" s="119"/>
      <c r="E75" s="119"/>
      <c r="F75" s="119"/>
      <c r="G75" s="141">
        <v>5947</v>
      </c>
    </row>
    <row r="76" spans="1:14">
      <c r="A76" s="111"/>
      <c r="B76" s="119"/>
      <c r="C76" s="119"/>
      <c r="D76" s="119"/>
      <c r="E76" s="119"/>
      <c r="F76" s="119"/>
      <c r="G76" s="139">
        <f>SUM(G74:G75)</f>
        <v>522340.4424824295</v>
      </c>
    </row>
    <row r="77" spans="1:14">
      <c r="A77" s="111"/>
      <c r="B77" s="119"/>
      <c r="C77" s="119"/>
      <c r="D77" s="119"/>
      <c r="E77" s="119"/>
      <c r="F77" s="119"/>
      <c r="G77" s="139"/>
    </row>
    <row r="78" spans="1:14" ht="15.75" thickBot="1">
      <c r="A78" s="111"/>
      <c r="B78" s="119"/>
      <c r="C78" s="112" t="s">
        <v>268</v>
      </c>
      <c r="D78" s="119"/>
      <c r="E78" s="119"/>
      <c r="F78" s="119"/>
      <c r="G78" s="142">
        <f>G76/G72</f>
        <v>4.5281858656212717E-2</v>
      </c>
    </row>
    <row r="79" spans="1:14" ht="15.75" thickTop="1">
      <c r="A79" s="111"/>
    </row>
    <row r="80" spans="1:14">
      <c r="A80" s="111"/>
    </row>
    <row r="81" spans="1:14">
      <c r="A81" s="111"/>
    </row>
    <row r="82" spans="1:14">
      <c r="A82" s="111"/>
    </row>
    <row r="83" spans="1:14">
      <c r="A83" s="111"/>
    </row>
    <row r="84" spans="1:14">
      <c r="A84" s="111"/>
    </row>
    <row r="85" spans="1:14">
      <c r="A85" s="111" t="s">
        <v>219</v>
      </c>
    </row>
    <row r="86" spans="1:14">
      <c r="A86" s="111" t="s">
        <v>223</v>
      </c>
    </row>
    <row r="87" spans="1:14">
      <c r="A87" s="111" t="s">
        <v>224</v>
      </c>
    </row>
    <row r="88" spans="1:14">
      <c r="A88" s="111" t="s">
        <v>226</v>
      </c>
    </row>
    <row r="89" spans="1:14" ht="15.75" thickBot="1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>
      <c r="B90" s="127" t="s">
        <v>230</v>
      </c>
      <c r="N90" s="129" t="s">
        <v>231</v>
      </c>
    </row>
  </sheetData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  <rowBreaks count="1" manualBreakCount="1">
    <brk id="4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Layout" zoomScaleNormal="100" workbookViewId="0">
      <selection activeCell="G9" sqref="G9"/>
    </sheetView>
  </sheetViews>
  <sheetFormatPr defaultRowHeight="12.75"/>
  <cols>
    <col min="1" max="1" width="77.42578125" customWidth="1"/>
    <col min="2" max="2" width="2.5703125" customWidth="1"/>
    <col min="3" max="3" width="12.7109375" customWidth="1"/>
    <col min="4" max="4" width="2.42578125" customWidth="1"/>
    <col min="5" max="5" width="15.7109375" customWidth="1"/>
  </cols>
  <sheetData>
    <row r="1" spans="1:5">
      <c r="A1" s="374" t="s">
        <v>33</v>
      </c>
      <c r="B1" s="374"/>
      <c r="C1" s="374"/>
      <c r="D1" s="374"/>
      <c r="E1" s="374"/>
    </row>
    <row r="2" spans="1:5">
      <c r="A2" s="375" t="s">
        <v>62</v>
      </c>
      <c r="B2" s="375"/>
      <c r="C2" s="375"/>
      <c r="D2" s="375"/>
      <c r="E2" s="374"/>
    </row>
    <row r="3" spans="1:5">
      <c r="A3" s="375" t="s">
        <v>64</v>
      </c>
      <c r="B3" s="375"/>
      <c r="C3" s="375"/>
      <c r="D3" s="375"/>
      <c r="E3" s="375"/>
    </row>
    <row r="4" spans="1:5">
      <c r="A4" s="376" t="s">
        <v>65</v>
      </c>
      <c r="B4" s="376"/>
      <c r="C4" s="376"/>
      <c r="D4" s="376"/>
      <c r="E4" s="376"/>
    </row>
    <row r="5" spans="1:5">
      <c r="A5" s="375" t="s">
        <v>373</v>
      </c>
      <c r="B5" s="375"/>
      <c r="C5" s="375"/>
      <c r="D5" s="375"/>
      <c r="E5" s="374"/>
    </row>
    <row r="6" spans="1:5">
      <c r="A6" s="374" t="s">
        <v>19</v>
      </c>
      <c r="B6" s="374"/>
      <c r="C6" s="374"/>
      <c r="D6" s="374"/>
      <c r="E6" s="374"/>
    </row>
    <row r="7" spans="1:5">
      <c r="A7" s="104"/>
      <c r="B7" s="104"/>
      <c r="C7" s="104"/>
      <c r="D7" s="104"/>
      <c r="E7" s="104"/>
    </row>
    <row r="8" spans="1:5">
      <c r="A8" s="37"/>
      <c r="B8" s="37"/>
      <c r="C8" s="176">
        <v>2017</v>
      </c>
      <c r="D8" s="176"/>
      <c r="E8" s="176">
        <v>2018</v>
      </c>
    </row>
    <row r="9" spans="1:5">
      <c r="A9" s="37"/>
      <c r="B9" s="37"/>
      <c r="C9" s="39" t="s">
        <v>60</v>
      </c>
      <c r="D9" s="104"/>
      <c r="E9" s="39" t="s">
        <v>60</v>
      </c>
    </row>
    <row r="10" spans="1:5">
      <c r="A10" s="37"/>
      <c r="B10" s="37"/>
      <c r="C10" s="39" t="s">
        <v>61</v>
      </c>
      <c r="D10" s="104"/>
      <c r="E10" s="39" t="s">
        <v>61</v>
      </c>
    </row>
    <row r="11" spans="1:5">
      <c r="A11" s="38"/>
      <c r="B11" s="38"/>
      <c r="C11" s="20" t="s">
        <v>59</v>
      </c>
      <c r="D11" s="38"/>
      <c r="E11" s="20" t="s">
        <v>59</v>
      </c>
    </row>
    <row r="12" spans="1:5">
      <c r="A12" s="166" t="s">
        <v>561</v>
      </c>
      <c r="B12" s="38"/>
      <c r="C12" s="19"/>
      <c r="D12" s="38"/>
      <c r="E12" s="19"/>
    </row>
    <row r="13" spans="1:5">
      <c r="A13" s="166"/>
      <c r="B13" s="38"/>
      <c r="C13" s="19"/>
      <c r="D13" s="38"/>
      <c r="E13" s="19"/>
    </row>
    <row r="14" spans="1:5">
      <c r="A14" s="38" t="str">
        <f>'Exh. LK-27 - Page 1'!B13</f>
        <v>Reduce Accumulated Depreciation to Reflect Depreciation Expense Reduction</v>
      </c>
      <c r="B14" s="38"/>
      <c r="C14" s="358">
        <f>'Exh. LK-27 - Page 1'!D13</f>
        <v>97.248999999999995</v>
      </c>
      <c r="D14" s="360"/>
      <c r="E14" s="358">
        <f>'Exh. LK-27 - Page 2'!D13</f>
        <v>294.24200000000002</v>
      </c>
    </row>
    <row r="15" spans="1:5">
      <c r="A15" s="38" t="str">
        <f>'Exh. LK-27 - Page 1'!B14</f>
        <v>Reduce Accumulated Fossil Dismantling to Reflect Dismantling Expense Reductions</v>
      </c>
      <c r="B15" s="38"/>
      <c r="C15" s="358">
        <f>'Exh. LK-27 - Page 1'!D14</f>
        <v>2.666277411789046</v>
      </c>
      <c r="D15" s="360"/>
      <c r="E15" s="358">
        <f>'Exh. LK-27 - Page 2'!D14</f>
        <v>8.0007647777608213</v>
      </c>
    </row>
    <row r="16" spans="1:5">
      <c r="A16" s="38" t="str">
        <f>'Exh. LK-27 - Page 1'!B15</f>
        <v xml:space="preserve">Increase Rate Base to Reflect Extended Amortization of Capital Recovery Costs </v>
      </c>
      <c r="B16" s="38"/>
      <c r="C16" s="358">
        <f>'Exh. LK-27 - Page 1'!D15</f>
        <v>11.271633517814173</v>
      </c>
      <c r="D16" s="360"/>
      <c r="E16" s="358">
        <f>'Exh. LK-27 - Page 2'!D15</f>
        <v>33.823658030545346</v>
      </c>
    </row>
    <row r="17" spans="1:6">
      <c r="A17" s="38" t="str">
        <f>'Exh. LK-27 - Page 1'!B16</f>
        <v>Amortize Injuries and Damages Excess Reserve Balance Over 4 Years</v>
      </c>
      <c r="B17" s="38"/>
      <c r="C17" s="358">
        <f>'Exh. LK-27 - Page 1'!D16</f>
        <v>2.4549145250000013</v>
      </c>
      <c r="D17" s="360"/>
      <c r="E17" s="358">
        <f>'Exh. LK-27 - Page 2'!D16</f>
        <v>7.0799917499999996</v>
      </c>
    </row>
    <row r="18" spans="1:6">
      <c r="A18" s="38" t="str">
        <f>'Exh. LK-27 - Page 1'!B17</f>
        <v>Amortize End of Life M&amp;S Inv and Nuclear Last Core Excess Reserve Balance Over 4 Years</v>
      </c>
      <c r="B18" s="38"/>
      <c r="C18" s="358">
        <f>'Exh. LK-27 - Page 1'!D17</f>
        <v>20.796584241250009</v>
      </c>
      <c r="D18" s="360"/>
      <c r="E18" s="358">
        <f>'Exh. LK-27 - Page 2'!D17</f>
        <v>62.394013924249982</v>
      </c>
    </row>
    <row r="19" spans="1:6">
      <c r="A19" s="38" t="str">
        <f>'Exh. LK-27 - Page 1'!B19</f>
        <v>Eliminate Unamortized Rate Case Expense</v>
      </c>
      <c r="B19" s="38"/>
      <c r="C19" s="358">
        <f>'Exh. LK-27 - Page 1'!D19</f>
        <v>-4.3090000000000002</v>
      </c>
      <c r="D19" s="360"/>
      <c r="E19" s="358">
        <f>'Exh. LK-27 - Page 2'!D19</f>
        <v>-3.0779999999999998</v>
      </c>
    </row>
    <row r="20" spans="1:6">
      <c r="A20" s="38" t="str">
        <f>'Exh. LK-27 - Page 1'!B20</f>
        <v>Correct Company Admitted Error for Balance of Deferred Pension Debit</v>
      </c>
      <c r="B20" s="38"/>
      <c r="C20" s="359">
        <f>'Exh. LK-27 - Page 1'!D20</f>
        <v>-3.528</v>
      </c>
      <c r="D20" s="360"/>
      <c r="E20" s="359">
        <f>'Exh. LK-27 - Page 2'!D20</f>
        <v>-8.5999461634800358</v>
      </c>
    </row>
    <row r="21" spans="1:6">
      <c r="A21" s="38"/>
      <c r="B21" s="38"/>
      <c r="C21" s="358"/>
      <c r="D21" s="360"/>
      <c r="E21" s="358"/>
    </row>
    <row r="22" spans="1:6">
      <c r="A22" s="166" t="s">
        <v>562</v>
      </c>
      <c r="B22" s="38"/>
      <c r="C22" s="43">
        <f>SUM(C14:C20)</f>
        <v>126.60140969585323</v>
      </c>
      <c r="D22" s="38"/>
      <c r="E22" s="43">
        <f>SUM(E14:E20)</f>
        <v>393.86248231907615</v>
      </c>
      <c r="F22" s="29"/>
    </row>
    <row r="23" spans="1:6">
      <c r="A23" s="38"/>
      <c r="B23" s="38"/>
      <c r="C23" s="41"/>
      <c r="D23" s="38"/>
      <c r="E23" s="41"/>
      <c r="F23" s="29"/>
    </row>
    <row r="24" spans="1:6">
      <c r="A24" s="12" t="s">
        <v>56</v>
      </c>
      <c r="B24" s="29"/>
      <c r="C24" s="361">
        <f>0.055+(0.35*(1-0.055))</f>
        <v>0.38574999999999998</v>
      </c>
      <c r="D24" s="29"/>
      <c r="E24" s="361">
        <f>0.055+(0.35*(1-0.055))</f>
        <v>0.38574999999999998</v>
      </c>
      <c r="F24" s="29"/>
    </row>
    <row r="25" spans="1:6">
      <c r="A25" s="29"/>
      <c r="B25" s="29"/>
      <c r="C25" s="42"/>
      <c r="D25" s="29"/>
      <c r="E25" s="42"/>
      <c r="F25" s="29"/>
    </row>
    <row r="26" spans="1:6" ht="13.5" thickBot="1">
      <c r="A26" s="152" t="s">
        <v>433</v>
      </c>
      <c r="B26" s="29"/>
      <c r="C26" s="203">
        <f>C22*C24</f>
        <v>48.836493790175382</v>
      </c>
      <c r="D26" s="29"/>
      <c r="E26" s="203">
        <f>E22*E24</f>
        <v>151.93245255458362</v>
      </c>
      <c r="F26" s="29"/>
    </row>
    <row r="27" spans="1:6" ht="13.5" thickTop="1">
      <c r="A27" s="29"/>
      <c r="B27" s="29"/>
      <c r="C27" s="42"/>
      <c r="D27" s="29"/>
      <c r="E27" s="42"/>
      <c r="F27" s="29"/>
    </row>
    <row r="28" spans="1:6">
      <c r="A28" s="29"/>
      <c r="B28" s="29"/>
      <c r="C28" s="42"/>
      <c r="D28" s="29"/>
      <c r="E28" s="42"/>
      <c r="F28" s="29"/>
    </row>
    <row r="29" spans="1:6">
      <c r="A29" s="29"/>
      <c r="B29" s="29"/>
      <c r="C29" s="29"/>
      <c r="D29" s="29"/>
      <c r="E29" s="42"/>
      <c r="F29" s="29"/>
    </row>
    <row r="30" spans="1:6">
      <c r="E30" s="26"/>
    </row>
    <row r="31" spans="1:6">
      <c r="E31" s="26"/>
    </row>
    <row r="32" spans="1:6">
      <c r="E32" s="26"/>
    </row>
    <row r="33" spans="5:5">
      <c r="E33" s="26"/>
    </row>
    <row r="34" spans="5:5">
      <c r="E34" s="26"/>
    </row>
    <row r="35" spans="5:5">
      <c r="E35" s="26"/>
    </row>
    <row r="36" spans="5:5">
      <c r="E36" s="26"/>
    </row>
    <row r="37" spans="5:5">
      <c r="E37" s="26"/>
    </row>
    <row r="38" spans="5:5">
      <c r="E38" s="26"/>
    </row>
    <row r="39" spans="5:5">
      <c r="E39" s="26"/>
    </row>
    <row r="40" spans="5:5">
      <c r="E40" s="26"/>
    </row>
    <row r="41" spans="5:5">
      <c r="E41" s="26"/>
    </row>
    <row r="42" spans="5:5">
      <c r="E42" s="26"/>
    </row>
    <row r="43" spans="5:5">
      <c r="E43" s="26"/>
    </row>
    <row r="44" spans="5:5">
      <c r="E44" s="26"/>
    </row>
    <row r="45" spans="5:5">
      <c r="E45" s="26"/>
    </row>
    <row r="46" spans="5:5">
      <c r="E46" s="26"/>
    </row>
    <row r="47" spans="5:5">
      <c r="E47" s="26"/>
    </row>
    <row r="48" spans="5:5">
      <c r="E48" s="26"/>
    </row>
    <row r="49" spans="5:5">
      <c r="E49" s="26"/>
    </row>
    <row r="50" spans="5:5">
      <c r="E50" s="26"/>
    </row>
    <row r="51" spans="5:5">
      <c r="E51" s="26"/>
    </row>
    <row r="52" spans="5:5">
      <c r="E52" s="26"/>
    </row>
  </sheetData>
  <mergeCells count="6">
    <mergeCell ref="A1:E1"/>
    <mergeCell ref="A2:E2"/>
    <mergeCell ref="A4:E4"/>
    <mergeCell ref="A5:E5"/>
    <mergeCell ref="A6:E6"/>
    <mergeCell ref="A3:E3"/>
  </mergeCells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view="pageLayout" zoomScaleNormal="100" workbookViewId="0">
      <selection activeCell="G9" sqref="G9"/>
    </sheetView>
  </sheetViews>
  <sheetFormatPr defaultRowHeight="12.75"/>
  <cols>
    <col min="1" max="1" width="1.85546875" customWidth="1"/>
    <col min="2" max="2" width="59" customWidth="1"/>
    <col min="3" max="3" width="3.140625" customWidth="1"/>
    <col min="4" max="4" width="12.5703125" customWidth="1"/>
    <col min="5" max="5" width="3.140625" customWidth="1"/>
    <col min="6" max="6" width="13.42578125" customWidth="1"/>
  </cols>
  <sheetData>
    <row r="1" spans="1:6">
      <c r="A1" s="374" t="s">
        <v>33</v>
      </c>
      <c r="B1" s="374"/>
      <c r="C1" s="374"/>
      <c r="D1" s="374"/>
      <c r="E1" s="374"/>
      <c r="F1" s="374"/>
    </row>
    <row r="2" spans="1:6">
      <c r="A2" s="375" t="s">
        <v>563</v>
      </c>
      <c r="B2" s="374"/>
      <c r="C2" s="374"/>
      <c r="D2" s="374"/>
      <c r="E2" s="374"/>
      <c r="F2" s="374"/>
    </row>
    <row r="3" spans="1:6">
      <c r="A3" s="376" t="s">
        <v>65</v>
      </c>
      <c r="B3" s="376"/>
      <c r="C3" s="376"/>
      <c r="D3" s="376"/>
      <c r="E3" s="376"/>
      <c r="F3" s="376"/>
    </row>
    <row r="4" spans="1:6">
      <c r="A4" s="375" t="s">
        <v>564</v>
      </c>
      <c r="B4" s="374"/>
      <c r="C4" s="374"/>
      <c r="D4" s="374"/>
      <c r="E4" s="374"/>
      <c r="F4" s="374"/>
    </row>
    <row r="5" spans="1:6">
      <c r="A5" s="374" t="s">
        <v>19</v>
      </c>
      <c r="B5" s="374"/>
      <c r="C5" s="374"/>
      <c r="D5" s="374"/>
      <c r="E5" s="374"/>
      <c r="F5" s="374"/>
    </row>
    <row r="6" spans="1:6">
      <c r="A6" s="37"/>
      <c r="B6" s="37"/>
      <c r="C6" s="37"/>
      <c r="D6" s="273"/>
      <c r="E6" s="273"/>
      <c r="F6" s="37"/>
    </row>
    <row r="7" spans="1:6">
      <c r="A7" s="166" t="s">
        <v>565</v>
      </c>
      <c r="B7" s="39"/>
      <c r="C7" s="39"/>
      <c r="D7" s="39"/>
      <c r="E7" s="39"/>
      <c r="F7" s="39"/>
    </row>
    <row r="8" spans="1:6">
      <c r="A8" s="38"/>
      <c r="B8" s="39"/>
      <c r="C8" s="39"/>
      <c r="D8" s="60">
        <v>2017</v>
      </c>
      <c r="E8" s="39"/>
      <c r="F8" s="60">
        <v>2018</v>
      </c>
    </row>
    <row r="9" spans="1:6">
      <c r="A9" s="38"/>
      <c r="B9" s="39"/>
      <c r="C9" s="39"/>
      <c r="D9" s="39"/>
      <c r="E9" s="39"/>
      <c r="F9" s="39"/>
    </row>
    <row r="10" spans="1:6">
      <c r="A10" s="39"/>
      <c r="B10" s="363" t="s">
        <v>566</v>
      </c>
      <c r="C10" s="40"/>
      <c r="D10" s="368">
        <v>428.66</v>
      </c>
      <c r="E10" s="40"/>
      <c r="F10" s="266">
        <v>434.286</v>
      </c>
    </row>
    <row r="11" spans="1:6">
      <c r="A11" s="39"/>
      <c r="B11" s="363"/>
      <c r="C11" s="40"/>
      <c r="D11" s="40"/>
      <c r="E11" s="40"/>
      <c r="F11" s="266"/>
    </row>
    <row r="12" spans="1:6">
      <c r="A12" s="39"/>
      <c r="B12" s="363" t="s">
        <v>567</v>
      </c>
      <c r="C12" s="40"/>
      <c r="D12" s="365">
        <v>0.94858699999999996</v>
      </c>
      <c r="E12" s="364"/>
      <c r="F12" s="365">
        <v>0.94899999999999995</v>
      </c>
    </row>
    <row r="13" spans="1:6">
      <c r="A13" s="39"/>
      <c r="B13" s="363"/>
      <c r="C13" s="40"/>
      <c r="D13" s="40"/>
      <c r="E13" s="40"/>
      <c r="F13" s="266"/>
    </row>
    <row r="14" spans="1:6">
      <c r="A14" s="39"/>
      <c r="B14" s="363" t="s">
        <v>568</v>
      </c>
      <c r="C14" s="40"/>
      <c r="D14" s="59">
        <f>-D10*D12</f>
        <v>-406.62130342</v>
      </c>
      <c r="E14" s="59"/>
      <c r="F14" s="59">
        <f>-F10*F12</f>
        <v>-412.13741399999998</v>
      </c>
    </row>
    <row r="15" spans="1:6">
      <c r="A15" s="39"/>
      <c r="B15" s="363"/>
      <c r="C15" s="40"/>
      <c r="D15" s="40"/>
      <c r="E15" s="40"/>
      <c r="F15" s="266"/>
    </row>
    <row r="16" spans="1:6">
      <c r="A16" s="12"/>
      <c r="B16" s="41" t="s">
        <v>55</v>
      </c>
      <c r="C16" s="41"/>
      <c r="D16" s="51">
        <f>'Exh. LK-28'!J19</f>
        <v>9.8804316192411479E-2</v>
      </c>
      <c r="E16" s="41"/>
      <c r="F16" s="51">
        <f>'Exh. LK-29'!J19</f>
        <v>9.9784915778226832E-2</v>
      </c>
    </row>
    <row r="17" spans="1:7">
      <c r="A17" s="12"/>
      <c r="B17" s="41"/>
      <c r="C17" s="41"/>
      <c r="D17" s="41"/>
      <c r="E17" s="41"/>
      <c r="F17" s="41"/>
    </row>
    <row r="18" spans="1:7" ht="13.5" thickBot="1">
      <c r="A18" s="12"/>
      <c r="B18" s="167" t="s">
        <v>584</v>
      </c>
      <c r="C18" s="41"/>
      <c r="D18" s="58">
        <f>D14*D16</f>
        <v>-40.175939833680168</v>
      </c>
      <c r="E18" s="41"/>
      <c r="F18" s="58">
        <f>F14*F16</f>
        <v>-41.125097145046205</v>
      </c>
    </row>
    <row r="19" spans="1:7" ht="13.5" thickTop="1">
      <c r="A19" s="12"/>
      <c r="B19" s="41"/>
      <c r="C19" s="41"/>
      <c r="D19" s="41"/>
      <c r="E19" s="41"/>
      <c r="F19" s="41"/>
    </row>
    <row r="20" spans="1:7">
      <c r="A20" s="29"/>
      <c r="B20" s="42"/>
      <c r="C20" s="42"/>
      <c r="D20" s="42"/>
      <c r="E20" s="42"/>
      <c r="F20" s="42"/>
    </row>
    <row r="21" spans="1:7">
      <c r="A21" s="29"/>
      <c r="B21" s="41"/>
      <c r="C21" s="42"/>
      <c r="D21" s="42"/>
      <c r="E21" s="42"/>
      <c r="F21" s="42"/>
      <c r="G21" s="29"/>
    </row>
    <row r="22" spans="1:7">
      <c r="A22" s="29"/>
      <c r="B22" s="42"/>
      <c r="C22" s="42"/>
      <c r="D22" s="42"/>
      <c r="E22" s="42"/>
      <c r="F22" s="42"/>
    </row>
    <row r="23" spans="1:7">
      <c r="A23" s="29"/>
      <c r="B23" s="42"/>
      <c r="C23" s="42"/>
      <c r="D23" s="42"/>
      <c r="E23" s="42"/>
      <c r="F23" s="42"/>
    </row>
    <row r="24" spans="1:7">
      <c r="A24" s="29"/>
      <c r="B24" s="42"/>
      <c r="C24" s="42"/>
      <c r="D24" s="42"/>
      <c r="E24" s="42"/>
      <c r="F24" s="42"/>
    </row>
    <row r="25" spans="1:7">
      <c r="A25" s="29"/>
      <c r="B25" s="42"/>
      <c r="C25" s="42"/>
      <c r="D25" s="42"/>
      <c r="E25" s="42"/>
      <c r="F25" s="42"/>
    </row>
    <row r="26" spans="1:7">
      <c r="A26" s="29"/>
      <c r="B26" s="42"/>
      <c r="C26" s="42"/>
      <c r="D26" s="42"/>
      <c r="E26" s="42"/>
      <c r="F26" s="42"/>
    </row>
    <row r="27" spans="1:7">
      <c r="A27" s="29"/>
      <c r="B27" s="42"/>
      <c r="C27" s="42"/>
      <c r="D27" s="42"/>
      <c r="E27" s="42"/>
      <c r="F27" s="42"/>
    </row>
    <row r="28" spans="1:7">
      <c r="A28" s="29"/>
      <c r="B28" s="42"/>
      <c r="C28" s="42"/>
      <c r="D28" s="42"/>
      <c r="E28" s="42"/>
      <c r="F28" s="42"/>
    </row>
    <row r="29" spans="1:7">
      <c r="A29" s="29"/>
      <c r="B29" s="42"/>
      <c r="C29" s="42"/>
      <c r="D29" s="42"/>
      <c r="E29" s="42"/>
      <c r="F29" s="42"/>
    </row>
    <row r="30" spans="1:7">
      <c r="A30" s="29"/>
      <c r="B30" s="42"/>
      <c r="C30" s="42"/>
      <c r="D30" s="42"/>
      <c r="E30" s="42"/>
      <c r="F30" s="42"/>
    </row>
    <row r="31" spans="1:7">
      <c r="A31" s="29"/>
      <c r="B31" s="42"/>
      <c r="C31" s="42"/>
      <c r="D31" s="42"/>
      <c r="E31" s="42"/>
      <c r="F31" s="42"/>
    </row>
    <row r="32" spans="1:7">
      <c r="A32" s="29"/>
      <c r="B32" s="42"/>
      <c r="C32" s="42"/>
      <c r="D32" s="42"/>
      <c r="E32" s="42"/>
      <c r="F32" s="42"/>
    </row>
    <row r="33" spans="1:6">
      <c r="A33" s="29"/>
      <c r="B33" s="42"/>
      <c r="C33" s="42"/>
      <c r="D33" s="42"/>
      <c r="E33" s="42"/>
      <c r="F33" s="42"/>
    </row>
    <row r="34" spans="1:6">
      <c r="A34" s="29"/>
      <c r="B34" s="42"/>
      <c r="C34" s="42"/>
      <c r="D34" s="42"/>
      <c r="E34" s="42"/>
      <c r="F34" s="42"/>
    </row>
    <row r="35" spans="1:6">
      <c r="A35" s="29"/>
      <c r="B35" s="42"/>
      <c r="C35" s="42"/>
      <c r="D35" s="42"/>
      <c r="E35" s="42"/>
      <c r="F35" s="42"/>
    </row>
    <row r="36" spans="1:6">
      <c r="A36" s="29"/>
      <c r="B36" s="42"/>
      <c r="C36" s="42"/>
      <c r="D36" s="42"/>
      <c r="E36" s="42"/>
      <c r="F36" s="45"/>
    </row>
    <row r="37" spans="1:6">
      <c r="A37" s="29"/>
      <c r="B37" s="42"/>
      <c r="C37" s="42"/>
      <c r="D37" s="42"/>
      <c r="E37" s="42"/>
      <c r="F37" s="42"/>
    </row>
    <row r="38" spans="1:6">
      <c r="A38" s="29"/>
      <c r="B38" s="42"/>
      <c r="C38" s="42"/>
      <c r="D38" s="42"/>
      <c r="E38" s="42"/>
      <c r="F38" s="42"/>
    </row>
    <row r="39" spans="1:6">
      <c r="A39" s="29"/>
      <c r="B39" s="42"/>
      <c r="C39" s="42"/>
      <c r="D39" s="42"/>
      <c r="E39" s="42"/>
      <c r="F39" s="42"/>
    </row>
    <row r="40" spans="1:6">
      <c r="A40" s="29"/>
      <c r="B40" s="42"/>
      <c r="C40" s="42"/>
      <c r="D40" s="42"/>
      <c r="E40" s="42"/>
      <c r="F40" s="42"/>
    </row>
    <row r="41" spans="1:6">
      <c r="A41" s="29"/>
      <c r="B41" s="42"/>
      <c r="C41" s="42"/>
      <c r="D41" s="42"/>
      <c r="E41" s="42"/>
      <c r="F41" s="42"/>
    </row>
    <row r="42" spans="1:6">
      <c r="A42" s="29"/>
      <c r="B42" s="42"/>
      <c r="C42" s="42"/>
      <c r="D42" s="42"/>
      <c r="E42" s="42"/>
      <c r="F42" s="42"/>
    </row>
    <row r="43" spans="1:6">
      <c r="A43" s="29"/>
      <c r="B43" s="42"/>
      <c r="C43" s="42"/>
      <c r="D43" s="42"/>
      <c r="E43" s="42"/>
      <c r="F43" s="42"/>
    </row>
    <row r="44" spans="1:6">
      <c r="A44" s="29"/>
      <c r="B44" s="42"/>
      <c r="C44" s="42"/>
      <c r="D44" s="42"/>
      <c r="E44" s="42"/>
      <c r="F44" s="42"/>
    </row>
    <row r="45" spans="1:6">
      <c r="A45" s="29"/>
      <c r="B45" s="42"/>
      <c r="C45" s="42"/>
      <c r="D45" s="42"/>
      <c r="E45" s="42"/>
      <c r="F45" s="42"/>
    </row>
    <row r="46" spans="1:6">
      <c r="A46" s="29"/>
      <c r="B46" s="42"/>
      <c r="C46" s="42"/>
      <c r="D46" s="42"/>
      <c r="E46" s="42"/>
      <c r="F46" s="42"/>
    </row>
    <row r="47" spans="1:6">
      <c r="A47" s="29"/>
      <c r="B47" s="42"/>
      <c r="C47" s="42"/>
      <c r="D47" s="42"/>
      <c r="E47" s="42"/>
      <c r="F47" s="42"/>
    </row>
    <row r="48" spans="1:6">
      <c r="A48" s="29"/>
      <c r="B48" s="42"/>
      <c r="C48" s="42"/>
      <c r="D48" s="42"/>
      <c r="E48" s="42"/>
      <c r="F48" s="42"/>
    </row>
    <row r="49" spans="2:6">
      <c r="B49" s="26"/>
      <c r="C49" s="26"/>
      <c r="D49" s="26"/>
      <c r="E49" s="26"/>
      <c r="F49" s="26"/>
    </row>
    <row r="50" spans="2:6">
      <c r="B50" s="26"/>
      <c r="C50" s="26"/>
      <c r="D50" s="26"/>
      <c r="E50" s="26"/>
      <c r="F50" s="26"/>
    </row>
    <row r="51" spans="2:6">
      <c r="B51" s="26"/>
      <c r="C51" s="26"/>
      <c r="D51" s="26"/>
      <c r="E51" s="26"/>
      <c r="F51" s="26"/>
    </row>
    <row r="52" spans="2:6">
      <c r="B52" s="26"/>
      <c r="C52" s="26"/>
      <c r="D52" s="26"/>
      <c r="E52" s="26"/>
      <c r="F52" s="26"/>
    </row>
    <row r="53" spans="2:6">
      <c r="B53" s="26"/>
      <c r="C53" s="26"/>
      <c r="D53" s="26"/>
      <c r="E53" s="26"/>
      <c r="F53" s="26"/>
    </row>
    <row r="54" spans="2:6">
      <c r="B54" s="26"/>
      <c r="C54" s="26"/>
      <c r="D54" s="26"/>
      <c r="E54" s="26"/>
      <c r="F54" s="26"/>
    </row>
    <row r="55" spans="2:6">
      <c r="B55" s="26"/>
      <c r="C55" s="26"/>
      <c r="D55" s="26"/>
      <c r="E55" s="26"/>
      <c r="F55" s="26"/>
    </row>
    <row r="56" spans="2:6">
      <c r="B56" s="26"/>
      <c r="C56" s="26"/>
      <c r="D56" s="26"/>
      <c r="E56" s="26"/>
      <c r="F56" s="26"/>
    </row>
    <row r="57" spans="2:6">
      <c r="B57" s="26"/>
      <c r="C57" s="26"/>
      <c r="D57" s="26"/>
      <c r="E57" s="26"/>
      <c r="F57" s="26"/>
    </row>
    <row r="58" spans="2:6">
      <c r="B58" s="26"/>
      <c r="C58" s="26"/>
      <c r="D58" s="26"/>
      <c r="E58" s="26"/>
      <c r="F58" s="26"/>
    </row>
    <row r="59" spans="2:6">
      <c r="B59" s="26"/>
      <c r="C59" s="26"/>
      <c r="D59" s="26"/>
      <c r="E59" s="26"/>
      <c r="F59" s="26"/>
    </row>
    <row r="60" spans="2:6">
      <c r="B60" s="26"/>
      <c r="C60" s="26"/>
      <c r="D60" s="26"/>
      <c r="E60" s="26"/>
      <c r="F60" s="26"/>
    </row>
    <row r="61" spans="2:6">
      <c r="B61" s="26"/>
      <c r="C61" s="26"/>
      <c r="D61" s="26"/>
      <c r="E61" s="26"/>
      <c r="F61" s="26"/>
    </row>
    <row r="62" spans="2:6">
      <c r="B62" s="26"/>
      <c r="C62" s="26"/>
      <c r="D62" s="26"/>
      <c r="E62" s="26"/>
      <c r="F62" s="26"/>
    </row>
    <row r="63" spans="2:6">
      <c r="B63" s="26"/>
      <c r="C63" s="26"/>
      <c r="D63" s="26"/>
      <c r="E63" s="26"/>
      <c r="F63" s="26"/>
    </row>
    <row r="64" spans="2:6">
      <c r="B64" s="26"/>
      <c r="C64" s="26"/>
      <c r="D64" s="26"/>
      <c r="E64" s="26"/>
      <c r="F64" s="26"/>
    </row>
    <row r="65" spans="2:6">
      <c r="B65" s="26"/>
      <c r="C65" s="26"/>
      <c r="D65" s="26"/>
      <c r="E65" s="26"/>
      <c r="F65" s="26"/>
    </row>
    <row r="66" spans="2:6">
      <c r="B66" s="26"/>
      <c r="C66" s="26"/>
      <c r="D66" s="26"/>
      <c r="E66" s="26"/>
      <c r="F66" s="26"/>
    </row>
    <row r="67" spans="2:6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  <row r="69" spans="2:6">
      <c r="B69" s="26"/>
      <c r="C69" s="26"/>
      <c r="D69" s="26"/>
      <c r="E69" s="26"/>
      <c r="F69" s="26"/>
    </row>
    <row r="70" spans="2:6">
      <c r="B70" s="26"/>
      <c r="C70" s="26"/>
      <c r="D70" s="26"/>
      <c r="E70" s="26"/>
      <c r="F70" s="26"/>
    </row>
    <row r="71" spans="2:6">
      <c r="B71" s="26"/>
      <c r="C71" s="26"/>
      <c r="D71" s="26"/>
      <c r="E71" s="26"/>
      <c r="F71" s="26"/>
    </row>
    <row r="72" spans="2:6">
      <c r="B72" s="26"/>
      <c r="C72" s="26"/>
      <c r="D72" s="26"/>
      <c r="E72" s="26"/>
      <c r="F72" s="26"/>
    </row>
    <row r="73" spans="2:6">
      <c r="B73" s="26"/>
      <c r="C73" s="26"/>
      <c r="D73" s="26"/>
      <c r="E73" s="26"/>
      <c r="F73" s="26"/>
    </row>
    <row r="74" spans="2:6">
      <c r="B74" s="26"/>
      <c r="C74" s="26"/>
      <c r="D74" s="26"/>
      <c r="E74" s="26"/>
      <c r="F74" s="26"/>
    </row>
    <row r="75" spans="2:6">
      <c r="B75" s="26"/>
      <c r="C75" s="26"/>
      <c r="D75" s="26"/>
      <c r="E75" s="26"/>
      <c r="F75" s="26"/>
    </row>
    <row r="76" spans="2:6">
      <c r="B76" s="26"/>
      <c r="C76" s="26"/>
      <c r="D76" s="26"/>
      <c r="E76" s="26"/>
      <c r="F76" s="26"/>
    </row>
  </sheetData>
  <mergeCells count="5">
    <mergeCell ref="A1:F1"/>
    <mergeCell ref="A2:F2"/>
    <mergeCell ref="A3:F3"/>
    <mergeCell ref="A4:F4"/>
    <mergeCell ref="A5:F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view="pageLayout" zoomScaleNormal="100" zoomScaleSheetLayoutView="100" workbookViewId="0">
      <selection activeCell="G9" sqref="G9"/>
    </sheetView>
  </sheetViews>
  <sheetFormatPr defaultRowHeight="12.75"/>
  <cols>
    <col min="1" max="1" width="1.85546875" customWidth="1"/>
    <col min="2" max="2" width="21.5703125" customWidth="1"/>
    <col min="3" max="3" width="2.140625" customWidth="1"/>
    <col min="4" max="4" width="12.7109375" customWidth="1"/>
    <col min="5" max="5" width="2.140625" customWidth="1"/>
    <col min="6" max="6" width="12.7109375" customWidth="1"/>
    <col min="7" max="7" width="2.140625" customWidth="1"/>
    <col min="8" max="8" width="12.85546875" customWidth="1"/>
    <col min="9" max="9" width="2.28515625" customWidth="1"/>
    <col min="10" max="10" width="9.7109375" customWidth="1"/>
    <col min="11" max="11" width="2.140625" customWidth="1"/>
    <col min="12" max="12" width="9.7109375" customWidth="1"/>
    <col min="13" max="13" width="2.140625" customWidth="1"/>
    <col min="14" max="14" width="12" customWidth="1"/>
    <col min="15" max="15" width="2.140625" customWidth="1"/>
    <col min="16" max="16" width="12.7109375" customWidth="1"/>
    <col min="17" max="17" width="2.140625" customWidth="1"/>
    <col min="18" max="18" width="11.5703125" customWidth="1"/>
    <col min="19" max="19" width="2.140625" customWidth="1"/>
    <col min="20" max="20" width="12.140625" customWidth="1"/>
  </cols>
  <sheetData>
    <row r="1" spans="1:20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</row>
    <row r="2" spans="1:20">
      <c r="A2" s="375" t="s">
        <v>285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</row>
    <row r="3" spans="1:20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</row>
    <row r="4" spans="1:20">
      <c r="A4" s="375" t="s">
        <v>66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</row>
    <row r="5" spans="1:20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</row>
    <row r="6" spans="1:20">
      <c r="A6" s="104"/>
      <c r="B6" s="104"/>
      <c r="C6" s="104"/>
      <c r="D6" s="104"/>
      <c r="E6" s="104"/>
      <c r="F6" s="104"/>
      <c r="G6" s="104"/>
      <c r="H6" s="104"/>
    </row>
    <row r="7" spans="1:20">
      <c r="A7" s="37"/>
      <c r="B7" s="37"/>
      <c r="C7" s="37"/>
      <c r="D7" s="37"/>
      <c r="E7" s="104"/>
      <c r="F7" s="104"/>
      <c r="G7" s="37"/>
      <c r="H7" s="37"/>
    </row>
    <row r="8" spans="1:20">
      <c r="E8" s="39"/>
      <c r="F8" s="39"/>
      <c r="G8" s="39"/>
      <c r="H8" s="39"/>
      <c r="N8" s="182" t="s">
        <v>304</v>
      </c>
      <c r="R8" s="10" t="s">
        <v>303</v>
      </c>
    </row>
    <row r="9" spans="1:20">
      <c r="A9" s="166"/>
      <c r="B9" s="39"/>
      <c r="C9" s="39"/>
      <c r="D9" s="39"/>
      <c r="E9" s="39"/>
      <c r="F9" s="176" t="s">
        <v>299</v>
      </c>
      <c r="G9" s="39"/>
      <c r="H9" s="176" t="s">
        <v>300</v>
      </c>
      <c r="J9" s="176"/>
      <c r="L9" s="176" t="s">
        <v>300</v>
      </c>
      <c r="N9" s="189" t="s">
        <v>303</v>
      </c>
      <c r="P9" s="176" t="s">
        <v>300</v>
      </c>
      <c r="R9" s="189" t="s">
        <v>307</v>
      </c>
      <c r="T9" s="176" t="s">
        <v>300</v>
      </c>
    </row>
    <row r="10" spans="1:20">
      <c r="A10" s="38"/>
      <c r="B10" s="39"/>
      <c r="C10" s="39"/>
      <c r="D10" s="176" t="s">
        <v>299</v>
      </c>
      <c r="E10" s="39"/>
      <c r="F10" s="176" t="s">
        <v>291</v>
      </c>
      <c r="G10" s="39"/>
      <c r="H10" s="176" t="s">
        <v>291</v>
      </c>
      <c r="J10" s="176" t="s">
        <v>300</v>
      </c>
      <c r="L10" s="182" t="s">
        <v>25</v>
      </c>
      <c r="N10" s="155" t="s">
        <v>299</v>
      </c>
      <c r="P10" s="189" t="s">
        <v>305</v>
      </c>
      <c r="R10" s="189" t="s">
        <v>20</v>
      </c>
      <c r="T10" s="189" t="s">
        <v>20</v>
      </c>
    </row>
    <row r="11" spans="1:20">
      <c r="A11" s="39"/>
      <c r="B11" s="40"/>
      <c r="C11" s="40"/>
      <c r="D11" s="155" t="s">
        <v>291</v>
      </c>
      <c r="E11" s="155"/>
      <c r="F11" s="155" t="s">
        <v>297</v>
      </c>
      <c r="G11" s="40"/>
      <c r="H11" s="155" t="s">
        <v>297</v>
      </c>
      <c r="J11" s="182" t="s">
        <v>25</v>
      </c>
      <c r="L11" s="155" t="s">
        <v>292</v>
      </c>
      <c r="N11" s="155" t="s">
        <v>291</v>
      </c>
      <c r="P11" s="189" t="s">
        <v>306</v>
      </c>
      <c r="R11" s="189" t="s">
        <v>308</v>
      </c>
      <c r="T11" s="189" t="s">
        <v>306</v>
      </c>
    </row>
    <row r="12" spans="1:20">
      <c r="A12" s="12"/>
      <c r="B12" s="168" t="s">
        <v>284</v>
      </c>
      <c r="C12" s="41"/>
      <c r="D12" s="169" t="s">
        <v>292</v>
      </c>
      <c r="E12" s="155"/>
      <c r="F12" s="169" t="s">
        <v>298</v>
      </c>
      <c r="G12" s="41"/>
      <c r="H12" s="169" t="s">
        <v>298</v>
      </c>
      <c r="J12" s="169" t="s">
        <v>292</v>
      </c>
      <c r="L12" s="169" t="s">
        <v>301</v>
      </c>
      <c r="N12" s="190" t="s">
        <v>302</v>
      </c>
      <c r="P12" s="190" t="s">
        <v>301</v>
      </c>
      <c r="R12" s="190" t="s">
        <v>35</v>
      </c>
      <c r="T12" s="190" t="s">
        <v>301</v>
      </c>
    </row>
    <row r="13" spans="1:20">
      <c r="A13" s="12"/>
      <c r="B13" s="167" t="s">
        <v>286</v>
      </c>
      <c r="C13" s="41"/>
      <c r="D13" s="171">
        <v>3.79</v>
      </c>
      <c r="E13" s="171"/>
      <c r="F13" s="171">
        <v>14.76</v>
      </c>
      <c r="G13" s="40"/>
      <c r="H13" s="171">
        <f>F13+1</f>
        <v>15.76</v>
      </c>
      <c r="J13" s="171">
        <f>ROUND((D13*F13)/H13,2)</f>
        <v>3.55</v>
      </c>
      <c r="L13" s="186">
        <f>J13-D13</f>
        <v>-0.24000000000000021</v>
      </c>
      <c r="N13" s="88">
        <f>3401.455-F85</f>
        <v>2501.0709999999999</v>
      </c>
      <c r="O13" s="88"/>
      <c r="P13" s="88">
        <f>(L13*N13)/100</f>
        <v>-6.0025704000000051</v>
      </c>
      <c r="R13" s="192">
        <v>0.95061499999999999</v>
      </c>
      <c r="T13" s="88">
        <f>P13*R13</f>
        <v>-5.7061334607960044</v>
      </c>
    </row>
    <row r="14" spans="1:20">
      <c r="A14" s="12"/>
      <c r="B14" s="167" t="s">
        <v>287</v>
      </c>
      <c r="C14" s="41"/>
      <c r="D14" s="172">
        <v>4.16</v>
      </c>
      <c r="E14" s="172"/>
      <c r="F14" s="172">
        <v>16.559999999999999</v>
      </c>
      <c r="G14" s="40"/>
      <c r="H14" s="171">
        <f t="shared" ref="H14:H25" si="0">F14+1</f>
        <v>17.559999999999999</v>
      </c>
      <c r="J14" s="171">
        <f t="shared" ref="J14:J19" si="1">ROUND((D14*F14)/H14,2)</f>
        <v>3.92</v>
      </c>
      <c r="L14" s="186">
        <f t="shared" ref="L14" si="2">J14-D14</f>
        <v>-0.24000000000000021</v>
      </c>
      <c r="N14" s="88">
        <f>8028.909-F87</f>
        <v>7953.7569999999996</v>
      </c>
      <c r="O14" s="88"/>
      <c r="P14" s="88">
        <f>(L14*N14)/100</f>
        <v>-19.089016800000014</v>
      </c>
      <c r="R14" s="192">
        <v>0.93169299999999999</v>
      </c>
      <c r="T14" s="88">
        <f t="shared" ref="T14:T19" si="3">P14*R14</f>
        <v>-17.785103329442414</v>
      </c>
    </row>
    <row r="15" spans="1:20">
      <c r="A15" s="12"/>
      <c r="B15" s="167"/>
      <c r="C15" s="41"/>
      <c r="D15" s="172"/>
      <c r="E15" s="172"/>
      <c r="F15" s="172"/>
      <c r="G15" s="40"/>
      <c r="H15" s="171"/>
      <c r="J15" s="171"/>
      <c r="L15" s="186"/>
      <c r="N15" s="88"/>
      <c r="O15" s="88"/>
      <c r="P15" s="88"/>
      <c r="R15" s="192"/>
      <c r="T15" s="88"/>
    </row>
    <row r="16" spans="1:20">
      <c r="A16" s="12"/>
      <c r="B16" s="167" t="s">
        <v>288</v>
      </c>
      <c r="C16" s="41"/>
      <c r="D16" s="171">
        <v>4.33</v>
      </c>
      <c r="E16" s="171"/>
      <c r="F16" s="171">
        <v>17.93</v>
      </c>
      <c r="G16" s="40"/>
      <c r="H16" s="171"/>
      <c r="J16" s="171"/>
      <c r="L16" s="186"/>
      <c r="N16" s="88"/>
      <c r="O16" s="88"/>
      <c r="P16" s="88"/>
      <c r="R16" s="192"/>
      <c r="T16" s="88">
        <f t="shared" si="3"/>
        <v>0</v>
      </c>
    </row>
    <row r="17" spans="1:20">
      <c r="A17" s="12"/>
      <c r="B17" s="167" t="s">
        <v>289</v>
      </c>
      <c r="C17" s="41"/>
      <c r="D17" s="173">
        <v>3.31</v>
      </c>
      <c r="E17" s="173"/>
      <c r="F17" s="173">
        <v>27.96</v>
      </c>
      <c r="G17" s="40"/>
      <c r="H17" s="171"/>
      <c r="I17" s="4"/>
      <c r="J17" s="171"/>
      <c r="L17" s="186"/>
      <c r="N17" s="88"/>
      <c r="O17" s="88"/>
      <c r="P17" s="88"/>
      <c r="R17" s="192"/>
      <c r="T17" s="88">
        <f t="shared" si="3"/>
        <v>0</v>
      </c>
    </row>
    <row r="18" spans="1:20">
      <c r="A18" s="12"/>
      <c r="B18" s="167" t="s">
        <v>290</v>
      </c>
      <c r="C18" s="41"/>
      <c r="D18" s="174">
        <v>3.18</v>
      </c>
      <c r="E18" s="173"/>
      <c r="F18" s="174">
        <v>26.66</v>
      </c>
      <c r="G18" s="40"/>
      <c r="H18" s="178"/>
      <c r="J18" s="178"/>
      <c r="L18" s="187"/>
      <c r="N18" s="196"/>
      <c r="O18" s="88"/>
      <c r="P18" s="196"/>
      <c r="R18" s="192"/>
      <c r="T18" s="196">
        <f t="shared" si="3"/>
        <v>0</v>
      </c>
    </row>
    <row r="19" spans="1:20">
      <c r="A19" s="12"/>
      <c r="B19" s="167" t="s">
        <v>309</v>
      </c>
      <c r="C19" s="41"/>
      <c r="D19" s="173">
        <f>ROUND(L47,2)</f>
        <v>4.18</v>
      </c>
      <c r="E19" s="173"/>
      <c r="F19" s="173">
        <f>F47</f>
        <v>19.219265996291522</v>
      </c>
      <c r="G19" s="40"/>
      <c r="H19" s="171">
        <f t="shared" si="0"/>
        <v>20.219265996291522</v>
      </c>
      <c r="J19" s="171">
        <f t="shared" si="1"/>
        <v>3.97</v>
      </c>
      <c r="L19" s="186">
        <f>J19-D19</f>
        <v>-0.20999999999999952</v>
      </c>
      <c r="N19" s="45">
        <f>12894.976-N56-F94</f>
        <v>11340.727000000001</v>
      </c>
      <c r="O19" s="88"/>
      <c r="P19" s="88">
        <f>(L19*N19)/100</f>
        <v>-23.815526699999946</v>
      </c>
      <c r="R19" s="192">
        <v>0.95042000000000004</v>
      </c>
      <c r="T19" s="88">
        <f t="shared" si="3"/>
        <v>-22.634752886213949</v>
      </c>
    </row>
    <row r="20" spans="1:20">
      <c r="A20" s="12"/>
      <c r="B20" s="41"/>
      <c r="C20" s="41"/>
      <c r="D20" s="171"/>
      <c r="E20" s="171"/>
      <c r="F20" s="171"/>
      <c r="G20" s="40"/>
      <c r="H20" s="171"/>
      <c r="J20" s="171"/>
      <c r="L20" s="10"/>
      <c r="N20" s="88"/>
      <c r="O20" s="88"/>
      <c r="P20" s="88"/>
      <c r="R20" s="192"/>
      <c r="T20" s="88"/>
    </row>
    <row r="21" spans="1:20">
      <c r="A21" s="12"/>
      <c r="B21" s="167" t="s">
        <v>293</v>
      </c>
      <c r="C21" s="41"/>
      <c r="D21" s="171">
        <v>2.5</v>
      </c>
      <c r="E21" s="171"/>
      <c r="F21" s="173">
        <v>36.03</v>
      </c>
      <c r="G21" s="40"/>
      <c r="H21" s="171">
        <f t="shared" si="0"/>
        <v>37.03</v>
      </c>
      <c r="J21" s="171">
        <f t="shared" ref="J21:J25" si="4">ROUND((D21*F21)/H21,2)</f>
        <v>2.4300000000000002</v>
      </c>
      <c r="L21" s="186">
        <f t="shared" ref="L21:L23" si="5">J21-D21</f>
        <v>-6.999999999999984E-2</v>
      </c>
      <c r="N21" s="88">
        <f>5392.296-F96</f>
        <v>5383.7049999999999</v>
      </c>
      <c r="O21" s="88"/>
      <c r="P21" s="88">
        <f>(L21*N21)/100</f>
        <v>-3.7685934999999917</v>
      </c>
      <c r="R21" s="192">
        <v>0.90174699999999997</v>
      </c>
      <c r="T21" s="88">
        <f t="shared" ref="T21:T23" si="6">P21*R21</f>
        <v>-3.3983178828444922</v>
      </c>
    </row>
    <row r="22" spans="1:20">
      <c r="A22" s="29"/>
      <c r="B22" s="167" t="s">
        <v>294</v>
      </c>
      <c r="C22" s="42"/>
      <c r="D22" s="173">
        <v>3.19</v>
      </c>
      <c r="E22" s="173"/>
      <c r="F22" s="173">
        <v>32.28</v>
      </c>
      <c r="G22" s="179"/>
      <c r="H22" s="171">
        <f t="shared" si="0"/>
        <v>33.28</v>
      </c>
      <c r="J22" s="171">
        <f t="shared" si="4"/>
        <v>3.09</v>
      </c>
      <c r="L22" s="186">
        <f t="shared" si="5"/>
        <v>-0.10000000000000009</v>
      </c>
      <c r="N22" s="88">
        <v>15330.597</v>
      </c>
      <c r="O22" s="88"/>
      <c r="P22" s="88">
        <f>(L22*N22)/100</f>
        <v>-15.330597000000013</v>
      </c>
      <c r="R22" s="192">
        <v>0.99973800000000002</v>
      </c>
      <c r="T22" s="88">
        <f t="shared" si="6"/>
        <v>-15.326580383586014</v>
      </c>
    </row>
    <row r="23" spans="1:20">
      <c r="A23" s="29"/>
      <c r="B23" s="167" t="s">
        <v>295</v>
      </c>
      <c r="C23" s="42"/>
      <c r="D23" s="181">
        <v>3.94</v>
      </c>
      <c r="E23" s="175"/>
      <c r="F23" s="174">
        <v>17.239999999999998</v>
      </c>
      <c r="G23" s="179"/>
      <c r="H23" s="178">
        <f t="shared" si="0"/>
        <v>18.239999999999998</v>
      </c>
      <c r="I23" s="29"/>
      <c r="J23" s="178">
        <f t="shared" si="4"/>
        <v>3.72</v>
      </c>
      <c r="L23" s="187">
        <f t="shared" si="5"/>
        <v>-0.21999999999999975</v>
      </c>
      <c r="N23" s="196">
        <f>462.812+475.706+336.104-F98</f>
        <v>1268.4640000000002</v>
      </c>
      <c r="O23" s="88"/>
      <c r="P23" s="196">
        <f>(L23*N23)/100</f>
        <v>-2.790620799999997</v>
      </c>
      <c r="R23" s="192">
        <v>0.96767599999999998</v>
      </c>
      <c r="T23" s="196">
        <f t="shared" si="6"/>
        <v>-2.7004167732607969</v>
      </c>
    </row>
    <row r="24" spans="1:20">
      <c r="A24" s="29"/>
      <c r="B24" s="42"/>
      <c r="C24" s="42"/>
      <c r="D24" s="175"/>
      <c r="E24" s="175"/>
      <c r="F24" s="180"/>
      <c r="G24" s="179"/>
      <c r="H24" s="171"/>
      <c r="J24" s="171"/>
      <c r="L24" s="10"/>
      <c r="N24" s="88"/>
      <c r="O24" s="88"/>
      <c r="P24" s="88"/>
      <c r="R24" s="192"/>
      <c r="T24" s="88"/>
    </row>
    <row r="25" spans="1:20" ht="13.5" thickBot="1">
      <c r="A25" s="29"/>
      <c r="B25" s="170" t="s">
        <v>296</v>
      </c>
      <c r="C25" s="42"/>
      <c r="D25" s="183">
        <v>3.6</v>
      </c>
      <c r="E25" s="175"/>
      <c r="F25" s="184">
        <v>23.65</v>
      </c>
      <c r="G25" s="179"/>
      <c r="H25" s="185">
        <f t="shared" si="0"/>
        <v>24.65</v>
      </c>
      <c r="J25" s="185">
        <f t="shared" si="4"/>
        <v>3.45</v>
      </c>
      <c r="L25" s="188">
        <f>J25-D25</f>
        <v>-0.14999999999999991</v>
      </c>
      <c r="N25" s="197">
        <f>N13+N14+N19+N21+N22+N23</f>
        <v>43778.321000000004</v>
      </c>
      <c r="O25" s="88"/>
      <c r="P25" s="197">
        <f>P13+P14+P19+P21+P22+P23</f>
        <v>-70.796925199999976</v>
      </c>
      <c r="T25" s="197">
        <f>T13+T14+T19+T21+T22+T23</f>
        <v>-67.551304716143676</v>
      </c>
    </row>
    <row r="26" spans="1:20" ht="13.5" thickTop="1">
      <c r="A26" s="29"/>
      <c r="B26" s="42"/>
      <c r="C26" s="42"/>
      <c r="D26" s="45"/>
      <c r="E26" s="45"/>
      <c r="F26" s="45"/>
      <c r="G26" s="42"/>
      <c r="H26" s="177"/>
      <c r="J26" s="29"/>
      <c r="L26" s="10"/>
    </row>
    <row r="27" spans="1:20">
      <c r="A27" s="29"/>
      <c r="B27" s="42"/>
      <c r="C27" s="42"/>
      <c r="D27" s="45"/>
      <c r="E27" s="45"/>
      <c r="F27" s="45"/>
      <c r="G27" s="42"/>
      <c r="H27" s="177"/>
      <c r="J27" s="29"/>
      <c r="L27" s="10"/>
    </row>
    <row r="28" spans="1:20">
      <c r="A28" s="29"/>
      <c r="B28" s="167" t="s">
        <v>424</v>
      </c>
      <c r="C28" s="42"/>
      <c r="D28" s="45"/>
      <c r="E28" s="45"/>
      <c r="F28" s="45"/>
      <c r="G28" s="42"/>
      <c r="H28" s="177"/>
      <c r="J28" s="29"/>
      <c r="L28" s="10"/>
      <c r="N28" s="45">
        <f>-T25</f>
        <v>67.551304716143676</v>
      </c>
    </row>
    <row r="29" spans="1:20">
      <c r="A29" s="29"/>
      <c r="B29" s="167" t="s">
        <v>468</v>
      </c>
      <c r="C29" s="42"/>
      <c r="D29" s="45"/>
      <c r="E29" s="45"/>
      <c r="F29" s="45"/>
      <c r="G29" s="42"/>
      <c r="H29" s="177"/>
      <c r="J29" s="29"/>
      <c r="L29" s="10"/>
      <c r="N29" s="198">
        <f>-N28*0.38575</f>
        <v>-26.057915794252423</v>
      </c>
    </row>
    <row r="30" spans="1:20">
      <c r="A30" s="29"/>
      <c r="B30" s="167" t="s">
        <v>426</v>
      </c>
      <c r="C30" s="42"/>
      <c r="D30" s="45"/>
      <c r="E30" s="45"/>
      <c r="F30" s="45"/>
      <c r="G30" s="42"/>
      <c r="H30" s="177"/>
      <c r="J30" s="29"/>
      <c r="L30" s="10"/>
      <c r="N30" s="45">
        <f>SUM(N28:N29)</f>
        <v>41.493388921891253</v>
      </c>
    </row>
    <row r="31" spans="1:20">
      <c r="A31" s="29"/>
      <c r="B31" s="167"/>
      <c r="C31" s="42"/>
      <c r="D31" s="45"/>
      <c r="E31" s="45"/>
      <c r="F31" s="45"/>
      <c r="G31" s="42"/>
      <c r="H31" s="177"/>
      <c r="J31" s="29"/>
      <c r="L31" s="10"/>
      <c r="N31" s="45"/>
    </row>
    <row r="32" spans="1:20">
      <c r="A32" s="29"/>
      <c r="B32" s="167" t="s">
        <v>425</v>
      </c>
      <c r="C32" s="42"/>
      <c r="D32" s="45"/>
      <c r="E32" s="45"/>
      <c r="F32" s="45"/>
      <c r="G32" s="42"/>
      <c r="H32" s="177"/>
      <c r="J32" s="29"/>
      <c r="L32" s="10"/>
      <c r="N32" s="45">
        <f>N30/2</f>
        <v>20.746694460945626</v>
      </c>
    </row>
    <row r="33" spans="1:14">
      <c r="A33" s="29"/>
      <c r="B33" s="167" t="s">
        <v>422</v>
      </c>
      <c r="C33" s="42"/>
      <c r="D33" s="45"/>
      <c r="E33" s="45"/>
      <c r="F33" s="259"/>
      <c r="G33" s="42"/>
      <c r="H33" s="177"/>
      <c r="J33" s="29"/>
      <c r="L33" s="10"/>
      <c r="N33" s="260">
        <f>'Exh. LK-28'!J19</f>
        <v>9.8804316192411479E-2</v>
      </c>
    </row>
    <row r="34" spans="1:14" ht="13.5" thickBot="1">
      <c r="A34" s="29"/>
      <c r="B34" s="167" t="s">
        <v>423</v>
      </c>
      <c r="C34" s="42"/>
      <c r="D34" s="45"/>
      <c r="E34" s="45"/>
      <c r="F34" s="45"/>
      <c r="G34" s="42"/>
      <c r="H34" s="177"/>
      <c r="J34" s="29"/>
      <c r="L34" s="10"/>
      <c r="N34" s="261">
        <f>N32*N33</f>
        <v>2.0498629594666236</v>
      </c>
    </row>
    <row r="35" spans="1:14" ht="13.5" thickTop="1">
      <c r="A35" s="29"/>
      <c r="B35" s="42"/>
      <c r="C35" s="42"/>
      <c r="D35" s="45"/>
      <c r="E35" s="45"/>
      <c r="F35" s="45"/>
      <c r="G35" s="42"/>
      <c r="H35" s="177"/>
      <c r="J35" s="29"/>
      <c r="L35" s="10"/>
    </row>
    <row r="36" spans="1:14" ht="13.5" thickBot="1">
      <c r="A36" s="29"/>
      <c r="B36" s="170" t="s">
        <v>427</v>
      </c>
      <c r="C36" s="42"/>
      <c r="D36" s="45"/>
      <c r="E36" s="45"/>
      <c r="F36" s="45"/>
      <c r="G36" s="42"/>
      <c r="H36" s="177"/>
      <c r="J36" s="29"/>
      <c r="L36" s="10"/>
      <c r="N36" s="209">
        <f>N34+T25</f>
        <v>-65.501441756677053</v>
      </c>
    </row>
    <row r="37" spans="1:14" ht="13.5" thickTop="1">
      <c r="A37" s="29"/>
      <c r="B37" s="42"/>
      <c r="C37" s="42"/>
      <c r="D37" s="45"/>
      <c r="E37" s="45"/>
      <c r="F37" s="45"/>
      <c r="G37" s="42"/>
      <c r="H37" s="42"/>
      <c r="J37" s="29"/>
    </row>
    <row r="38" spans="1:14">
      <c r="A38" s="166" t="s">
        <v>334</v>
      </c>
      <c r="B38" s="39"/>
      <c r="C38" s="39"/>
      <c r="D38" s="39"/>
      <c r="E38" s="45"/>
      <c r="F38" s="45"/>
      <c r="G38" s="42"/>
      <c r="H38" s="42"/>
    </row>
    <row r="39" spans="1:14">
      <c r="A39" s="29"/>
      <c r="B39" s="42"/>
      <c r="C39" s="42"/>
      <c r="D39" s="45"/>
      <c r="E39" s="45"/>
      <c r="F39" s="45"/>
      <c r="G39" s="42"/>
      <c r="H39" s="42"/>
    </row>
    <row r="40" spans="1:14">
      <c r="A40" s="29"/>
      <c r="B40" s="42"/>
      <c r="C40" s="42"/>
      <c r="D40" s="45"/>
      <c r="E40" s="45"/>
      <c r="F40" s="45"/>
      <c r="G40" s="42"/>
      <c r="H40" s="42"/>
    </row>
    <row r="41" spans="1:14">
      <c r="A41" s="29"/>
      <c r="B41" s="42"/>
      <c r="C41" s="42"/>
      <c r="D41" s="46"/>
      <c r="E41" s="46"/>
      <c r="F41" s="46"/>
      <c r="G41" s="42"/>
      <c r="H41" s="42"/>
    </row>
    <row r="42" spans="1:14">
      <c r="A42" s="29"/>
      <c r="B42" s="167" t="s">
        <v>310</v>
      </c>
      <c r="C42" s="42"/>
      <c r="D42" s="42"/>
      <c r="E42" s="42"/>
      <c r="F42" s="195" t="s">
        <v>311</v>
      </c>
      <c r="G42" s="42"/>
      <c r="H42" s="42"/>
      <c r="L42" s="158" t="s">
        <v>292</v>
      </c>
    </row>
    <row r="43" spans="1:14">
      <c r="A43" s="29"/>
      <c r="B43" s="167" t="s">
        <v>288</v>
      </c>
      <c r="C43" s="42"/>
      <c r="D43" s="45">
        <v>8453.6117269999995</v>
      </c>
      <c r="E43" s="46"/>
      <c r="F43" s="194">
        <f>F16</f>
        <v>17.93</v>
      </c>
      <c r="G43" s="42"/>
      <c r="H43" s="45">
        <f>D43*F43</f>
        <v>151573.25826510999</v>
      </c>
      <c r="L43" s="200">
        <v>4.33</v>
      </c>
      <c r="N43" s="88">
        <f>D43*L43</f>
        <v>36604.138777909997</v>
      </c>
    </row>
    <row r="44" spans="1:14">
      <c r="A44" s="29"/>
      <c r="B44" s="167" t="s">
        <v>289</v>
      </c>
      <c r="C44" s="42"/>
      <c r="D44" s="45">
        <v>488.567362</v>
      </c>
      <c r="E44" s="42"/>
      <c r="F44" s="194">
        <f>F17</f>
        <v>27.96</v>
      </c>
      <c r="G44" s="42"/>
      <c r="H44" s="45">
        <f>D44*F44</f>
        <v>13660.343441520001</v>
      </c>
      <c r="L44" s="201">
        <v>3.31</v>
      </c>
      <c r="N44" s="88">
        <f t="shared" ref="N44:N45" si="7">D44*L44</f>
        <v>1617.1579682199999</v>
      </c>
    </row>
    <row r="45" spans="1:14">
      <c r="A45" s="29"/>
      <c r="B45" s="167" t="s">
        <v>290</v>
      </c>
      <c r="C45" s="42"/>
      <c r="D45" s="198">
        <v>890.84178899999995</v>
      </c>
      <c r="E45" s="42"/>
      <c r="F45" s="199">
        <f>F18</f>
        <v>26.66</v>
      </c>
      <c r="G45" s="42"/>
      <c r="H45" s="198">
        <f>D45*F45</f>
        <v>23749.842094739997</v>
      </c>
      <c r="L45" s="202">
        <v>3.18</v>
      </c>
      <c r="N45" s="196">
        <f t="shared" si="7"/>
        <v>2832.8768890199999</v>
      </c>
    </row>
    <row r="46" spans="1:14">
      <c r="A46" s="29"/>
      <c r="B46" s="42"/>
      <c r="C46" s="42"/>
      <c r="D46" s="45"/>
      <c r="E46" s="42"/>
      <c r="F46" s="42"/>
      <c r="G46" s="42"/>
      <c r="H46" s="45"/>
      <c r="N46" s="88"/>
    </row>
    <row r="47" spans="1:14" ht="13.5" thickBot="1">
      <c r="A47" s="29"/>
      <c r="B47" s="42" t="s">
        <v>320</v>
      </c>
      <c r="C47" s="42"/>
      <c r="D47" s="203">
        <f>SUM(D43:D46)</f>
        <v>9833.0208779999994</v>
      </c>
      <c r="E47" s="42"/>
      <c r="F47" s="205">
        <f>H47/D47</f>
        <v>19.219265996291522</v>
      </c>
      <c r="G47" s="42"/>
      <c r="H47" s="203">
        <f>SUM(H43:H46)</f>
        <v>188983.44380136998</v>
      </c>
      <c r="L47" s="206">
        <f>N47/D47</f>
        <v>4.1751333740176362</v>
      </c>
      <c r="N47" s="197">
        <f>SUM(N43:N46)</f>
        <v>41054.17363515</v>
      </c>
    </row>
    <row r="48" spans="1:14" ht="13.5" thickTop="1">
      <c r="A48" s="29"/>
      <c r="B48" s="42"/>
      <c r="C48" s="42"/>
      <c r="D48" s="45"/>
      <c r="E48" s="45"/>
      <c r="F48" s="45"/>
      <c r="G48" s="42"/>
      <c r="H48" s="45"/>
    </row>
    <row r="49" spans="1:14">
      <c r="A49" s="29"/>
      <c r="B49" s="42"/>
      <c r="C49" s="42"/>
      <c r="D49" s="45"/>
      <c r="E49" s="45"/>
      <c r="F49" s="45"/>
      <c r="G49" s="42"/>
      <c r="H49" s="42"/>
    </row>
    <row r="50" spans="1:14">
      <c r="A50" s="29"/>
      <c r="B50" s="42"/>
      <c r="C50" s="42"/>
      <c r="D50" s="45"/>
      <c r="E50" s="45"/>
      <c r="F50" s="45"/>
      <c r="G50" s="42"/>
      <c r="H50" s="42"/>
    </row>
    <row r="51" spans="1:14">
      <c r="A51" s="29"/>
      <c r="B51" s="42"/>
      <c r="C51" s="42"/>
      <c r="D51" s="45"/>
      <c r="E51" s="45"/>
      <c r="F51" s="45"/>
      <c r="G51" s="42"/>
      <c r="H51" s="42" t="s">
        <v>312</v>
      </c>
    </row>
    <row r="52" spans="1:14">
      <c r="A52" s="29"/>
      <c r="B52" s="42"/>
      <c r="C52" s="42"/>
      <c r="D52" s="45"/>
      <c r="E52" s="45"/>
      <c r="F52" s="45"/>
      <c r="G52" s="42"/>
      <c r="H52" s="42"/>
      <c r="N52" s="204">
        <f>N25</f>
        <v>43778.321000000004</v>
      </c>
    </row>
    <row r="53" spans="1:14">
      <c r="A53" s="29"/>
      <c r="B53" s="42"/>
      <c r="C53" s="42"/>
      <c r="D53" s="45"/>
      <c r="E53" s="45"/>
      <c r="F53" s="45"/>
      <c r="G53" s="42"/>
      <c r="H53" s="42" t="s">
        <v>314</v>
      </c>
      <c r="N53" s="204">
        <v>1037.944</v>
      </c>
    </row>
    <row r="54" spans="1:14">
      <c r="A54" s="29"/>
      <c r="B54" s="42"/>
      <c r="C54" s="42"/>
      <c r="D54" s="45"/>
      <c r="E54" s="45"/>
      <c r="F54" s="45"/>
      <c r="G54" s="42"/>
      <c r="H54" s="42" t="s">
        <v>313</v>
      </c>
      <c r="N54">
        <v>49.591000000000001</v>
      </c>
    </row>
    <row r="55" spans="1:14">
      <c r="A55" s="29"/>
      <c r="B55" s="42"/>
      <c r="C55" s="42"/>
      <c r="D55" s="45"/>
      <c r="E55" s="45"/>
      <c r="F55" s="45"/>
      <c r="G55" s="42"/>
      <c r="H55" s="42" t="s">
        <v>315</v>
      </c>
      <c r="N55">
        <v>107.383</v>
      </c>
    </row>
    <row r="56" spans="1:14">
      <c r="A56" s="29"/>
      <c r="B56" s="42"/>
      <c r="C56" s="42"/>
      <c r="D56" s="45"/>
      <c r="E56" s="45"/>
      <c r="F56" s="45"/>
      <c r="G56" s="42"/>
      <c r="H56" s="167" t="s">
        <v>341</v>
      </c>
      <c r="N56" s="217">
        <v>909.94</v>
      </c>
    </row>
    <row r="57" spans="1:14">
      <c r="A57" s="29"/>
      <c r="B57" s="42"/>
      <c r="C57" s="42"/>
      <c r="D57" s="45"/>
      <c r="E57" s="45"/>
      <c r="F57" s="45"/>
      <c r="G57" s="42"/>
      <c r="H57" s="167" t="s">
        <v>344</v>
      </c>
      <c r="N57" s="217">
        <f>F100</f>
        <v>1634.5939999999998</v>
      </c>
    </row>
    <row r="58" spans="1:14">
      <c r="A58" s="29"/>
      <c r="B58" s="42"/>
      <c r="C58" s="42"/>
      <c r="D58" s="45"/>
      <c r="E58" s="45"/>
      <c r="F58" s="45"/>
      <c r="G58" s="42"/>
      <c r="H58" s="42" t="s">
        <v>317</v>
      </c>
      <c r="N58">
        <v>2.6560000000000001</v>
      </c>
    </row>
    <row r="59" spans="1:14">
      <c r="A59" s="29"/>
      <c r="B59" s="42"/>
      <c r="C59" s="42"/>
      <c r="D59" s="45"/>
      <c r="E59" s="45"/>
      <c r="F59" s="45"/>
      <c r="G59" s="42"/>
      <c r="H59" s="42" t="s">
        <v>318</v>
      </c>
      <c r="N59" s="193">
        <v>0.59899999999999998</v>
      </c>
    </row>
    <row r="60" spans="1:14" ht="13.5" thickBot="1">
      <c r="A60" s="29"/>
      <c r="B60" s="42"/>
      <c r="C60" s="42"/>
      <c r="D60" s="42"/>
      <c r="E60" s="42"/>
      <c r="F60" s="42"/>
      <c r="G60" s="42"/>
      <c r="H60" s="42" t="s">
        <v>316</v>
      </c>
      <c r="N60" s="209">
        <f>SUM(N52:N59)</f>
        <v>47521.028000000013</v>
      </c>
    </row>
    <row r="61" spans="1:14" ht="13.5" thickTop="1">
      <c r="A61" s="29"/>
      <c r="B61" s="42"/>
      <c r="C61" s="42"/>
      <c r="D61" s="46"/>
      <c r="E61" s="46"/>
      <c r="F61" s="46"/>
      <c r="G61" s="42"/>
      <c r="H61" s="42"/>
    </row>
    <row r="62" spans="1:14">
      <c r="B62" s="26"/>
      <c r="C62" s="26"/>
      <c r="D62" s="26"/>
      <c r="E62" s="26"/>
      <c r="F62" s="26"/>
      <c r="G62" s="26"/>
      <c r="H62" s="26"/>
    </row>
    <row r="63" spans="1:14">
      <c r="B63" s="26"/>
      <c r="C63" s="26"/>
      <c r="D63" s="26"/>
      <c r="E63" s="26"/>
      <c r="F63" s="26"/>
      <c r="G63" s="26"/>
      <c r="H63" s="26"/>
    </row>
    <row r="64" spans="1:14">
      <c r="B64" s="26"/>
      <c r="C64" s="26"/>
      <c r="D64" s="26"/>
      <c r="E64" s="26"/>
      <c r="F64" s="26"/>
      <c r="G64" s="26"/>
      <c r="H64" s="26"/>
    </row>
    <row r="65" spans="1:8">
      <c r="B65" s="26"/>
      <c r="C65" s="26"/>
      <c r="D65" s="26"/>
      <c r="E65" s="26"/>
      <c r="F65" s="26"/>
      <c r="G65" s="26"/>
      <c r="H65" s="26"/>
    </row>
    <row r="66" spans="1:8">
      <c r="B66" s="26"/>
      <c r="C66" s="26"/>
      <c r="D66" s="26"/>
      <c r="E66" s="26"/>
      <c r="F66" s="26"/>
      <c r="G66" s="26"/>
      <c r="H66" s="26"/>
    </row>
    <row r="67" spans="1:8">
      <c r="B67" s="26"/>
      <c r="C67" s="26"/>
      <c r="D67" s="26"/>
      <c r="E67" s="26"/>
      <c r="F67" s="26"/>
      <c r="G67" s="26"/>
      <c r="H67" s="26"/>
    </row>
    <row r="68" spans="1:8">
      <c r="B68" s="26"/>
      <c r="C68" s="26"/>
      <c r="D68" s="26"/>
      <c r="E68" s="26"/>
      <c r="F68" s="26"/>
      <c r="G68" s="26"/>
      <c r="H68" s="26"/>
    </row>
    <row r="69" spans="1:8">
      <c r="B69" s="26"/>
      <c r="C69" s="26"/>
      <c r="D69" s="26"/>
      <c r="E69" s="26"/>
      <c r="F69" s="26"/>
      <c r="G69" s="26"/>
      <c r="H69" s="26"/>
    </row>
    <row r="70" spans="1:8">
      <c r="B70" s="26"/>
      <c r="C70" s="26"/>
      <c r="D70" s="26"/>
      <c r="E70" s="26"/>
      <c r="F70" s="26"/>
      <c r="G70" s="26"/>
      <c r="H70" s="26"/>
    </row>
    <row r="71" spans="1:8">
      <c r="B71" s="26"/>
      <c r="C71" s="26"/>
      <c r="D71" s="26"/>
      <c r="E71" s="26"/>
      <c r="F71" s="26"/>
      <c r="G71" s="26"/>
      <c r="H71" s="26"/>
    </row>
    <row r="72" spans="1:8">
      <c r="B72" s="26"/>
      <c r="C72" s="26"/>
      <c r="D72" s="26"/>
      <c r="E72" s="26"/>
      <c r="F72" s="26"/>
      <c r="G72" s="26"/>
      <c r="H72" s="26"/>
    </row>
    <row r="73" spans="1:8">
      <c r="B73" s="26"/>
      <c r="C73" s="26"/>
      <c r="D73" s="26"/>
      <c r="E73" s="26"/>
      <c r="F73" s="26"/>
      <c r="G73" s="26"/>
      <c r="H73" s="26"/>
    </row>
    <row r="74" spans="1:8">
      <c r="B74" s="26"/>
      <c r="C74" s="26"/>
      <c r="D74" s="26"/>
      <c r="E74" s="26"/>
      <c r="F74" s="26"/>
      <c r="G74" s="26"/>
      <c r="H74" s="26"/>
    </row>
    <row r="75" spans="1:8">
      <c r="B75" s="26"/>
      <c r="C75" s="26"/>
      <c r="D75" s="26"/>
      <c r="E75" s="26"/>
      <c r="F75" s="26"/>
      <c r="G75" s="26"/>
      <c r="H75" s="26"/>
    </row>
    <row r="76" spans="1:8">
      <c r="B76" s="26"/>
      <c r="C76" s="26"/>
      <c r="D76" s="26"/>
      <c r="E76" s="26"/>
      <c r="F76" s="26"/>
      <c r="G76" s="26"/>
      <c r="H76" s="26"/>
    </row>
    <row r="77" spans="1:8">
      <c r="A77" s="158" t="s">
        <v>326</v>
      </c>
      <c r="B77" s="26"/>
      <c r="C77" s="26"/>
      <c r="D77" s="26"/>
      <c r="E77" s="26"/>
      <c r="F77" s="26"/>
      <c r="G77" s="26"/>
      <c r="H77" s="26"/>
    </row>
    <row r="78" spans="1:8">
      <c r="A78" s="158"/>
      <c r="B78" s="26"/>
      <c r="C78" s="26"/>
      <c r="D78" s="26"/>
      <c r="E78" s="26"/>
      <c r="F78" s="212" t="s">
        <v>330</v>
      </c>
      <c r="G78" s="26"/>
      <c r="H78" s="26"/>
    </row>
    <row r="79" spans="1:8">
      <c r="B79" s="212" t="s">
        <v>327</v>
      </c>
      <c r="C79" s="26"/>
      <c r="D79" s="26"/>
      <c r="E79" s="26"/>
      <c r="F79" s="26"/>
      <c r="G79" s="26"/>
      <c r="H79" s="26"/>
    </row>
    <row r="80" spans="1:8">
      <c r="B80" s="213" t="s">
        <v>328</v>
      </c>
      <c r="C80" s="26"/>
      <c r="D80" s="26"/>
      <c r="E80" s="26"/>
      <c r="F80" s="215">
        <v>191.631</v>
      </c>
      <c r="G80" s="26"/>
      <c r="H80" s="26"/>
    </row>
    <row r="81" spans="2:8">
      <c r="B81" s="213" t="s">
        <v>329</v>
      </c>
      <c r="C81" s="26"/>
      <c r="D81" s="26"/>
      <c r="E81" s="26"/>
      <c r="F81" s="215">
        <v>475.995</v>
      </c>
      <c r="G81" s="26"/>
      <c r="H81" s="26"/>
    </row>
    <row r="82" spans="2:8">
      <c r="B82" s="214" t="s">
        <v>331</v>
      </c>
      <c r="C82" s="26"/>
      <c r="D82" s="26"/>
      <c r="E82" s="26"/>
      <c r="F82" s="215">
        <v>28.03</v>
      </c>
      <c r="G82" s="26"/>
      <c r="H82" s="26"/>
    </row>
    <row r="83" spans="2:8">
      <c r="B83" s="214" t="s">
        <v>332</v>
      </c>
      <c r="C83" s="26"/>
      <c r="D83" s="26"/>
      <c r="E83" s="26"/>
      <c r="F83" s="215">
        <v>26.931999999999999</v>
      </c>
      <c r="G83" s="26"/>
      <c r="H83" s="26"/>
    </row>
    <row r="84" spans="2:8">
      <c r="B84" s="214" t="s">
        <v>333</v>
      </c>
      <c r="C84" s="26"/>
      <c r="D84" s="26"/>
      <c r="E84" s="26"/>
      <c r="F84" s="196">
        <v>177.79599999999999</v>
      </c>
      <c r="G84" s="26"/>
      <c r="H84" s="26"/>
    </row>
    <row r="85" spans="2:8">
      <c r="B85" s="167" t="s">
        <v>335</v>
      </c>
      <c r="C85" s="26"/>
      <c r="D85" s="26"/>
      <c r="E85" s="26"/>
      <c r="F85" s="215">
        <f>SUM(F80:F84)</f>
        <v>900.38400000000001</v>
      </c>
      <c r="G85" s="26"/>
      <c r="H85" s="26"/>
    </row>
    <row r="86" spans="2:8">
      <c r="B86" s="26"/>
      <c r="C86" s="26"/>
      <c r="D86" s="26"/>
      <c r="E86" s="26"/>
      <c r="F86" s="215"/>
      <c r="G86" s="26"/>
      <c r="H86" s="26"/>
    </row>
    <row r="87" spans="2:8">
      <c r="B87" s="167" t="s">
        <v>336</v>
      </c>
      <c r="C87" s="26"/>
      <c r="D87" s="26"/>
      <c r="E87" s="26"/>
      <c r="F87" s="215">
        <v>75.152000000000001</v>
      </c>
      <c r="G87" s="26"/>
      <c r="H87" s="26"/>
    </row>
    <row r="88" spans="2:8">
      <c r="B88" s="26"/>
      <c r="C88" s="26"/>
      <c r="D88" s="26"/>
      <c r="E88" s="26"/>
      <c r="F88" s="215"/>
      <c r="G88" s="26"/>
      <c r="H88" s="26"/>
    </row>
    <row r="89" spans="2:8">
      <c r="B89" s="170" t="s">
        <v>310</v>
      </c>
      <c r="C89" s="26"/>
      <c r="D89" s="26"/>
      <c r="E89" s="26"/>
      <c r="F89" s="215"/>
      <c r="G89" s="26"/>
      <c r="H89" s="26"/>
    </row>
    <row r="90" spans="2:8">
      <c r="B90" s="216" t="s">
        <v>337</v>
      </c>
      <c r="C90" s="26"/>
      <c r="D90" s="26"/>
      <c r="E90" s="26"/>
      <c r="F90" s="215">
        <v>120.548</v>
      </c>
      <c r="G90" s="26"/>
      <c r="H90" s="26"/>
    </row>
    <row r="91" spans="2:8">
      <c r="B91" s="216" t="s">
        <v>338</v>
      </c>
      <c r="C91" s="26"/>
      <c r="D91" s="26"/>
      <c r="E91" s="26"/>
      <c r="F91" s="215">
        <v>2.298</v>
      </c>
      <c r="G91" s="26"/>
      <c r="H91" s="26"/>
    </row>
    <row r="92" spans="2:8">
      <c r="B92" s="216" t="s">
        <v>339</v>
      </c>
      <c r="C92" s="26"/>
      <c r="D92" s="26"/>
      <c r="E92" s="26"/>
      <c r="F92" s="45">
        <v>459.82799999999997</v>
      </c>
      <c r="G92" s="26"/>
      <c r="H92" s="26"/>
    </row>
    <row r="93" spans="2:8">
      <c r="B93" s="216" t="s">
        <v>340</v>
      </c>
      <c r="C93" s="26"/>
      <c r="D93" s="26"/>
      <c r="E93" s="26"/>
      <c r="F93" s="198">
        <v>61.634999999999998</v>
      </c>
      <c r="G93" s="26"/>
      <c r="H93" s="26"/>
    </row>
    <row r="94" spans="2:8">
      <c r="B94" s="216"/>
      <c r="C94" s="26"/>
      <c r="D94" s="26"/>
      <c r="E94" s="26"/>
      <c r="F94" s="45">
        <f>SUM(F90:F93)</f>
        <v>644.30899999999997</v>
      </c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170" t="s">
        <v>342</v>
      </c>
      <c r="C96" s="26"/>
      <c r="D96" s="26"/>
      <c r="E96" s="26"/>
      <c r="F96" s="45">
        <v>8.5909999999999993</v>
      </c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12" t="s">
        <v>343</v>
      </c>
      <c r="C98" s="26"/>
      <c r="D98" s="26"/>
      <c r="E98" s="26"/>
      <c r="F98" s="26">
        <v>6.1580000000000004</v>
      </c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12" t="s">
        <v>344</v>
      </c>
      <c r="C100" s="26"/>
      <c r="D100" s="26"/>
      <c r="E100" s="26"/>
      <c r="F100" s="215">
        <f>F85+F87+F94+F96+F98</f>
        <v>1634.5939999999998</v>
      </c>
      <c r="G100" s="26"/>
      <c r="H100" s="26"/>
    </row>
    <row r="101" spans="2:8">
      <c r="B101" s="26"/>
      <c r="C101" s="26"/>
      <c r="D101" s="26"/>
      <c r="E101" s="26"/>
      <c r="F101" s="26"/>
      <c r="G101" s="26"/>
      <c r="H101" s="26"/>
    </row>
    <row r="102" spans="2:8">
      <c r="B102" s="26"/>
      <c r="C102" s="26"/>
      <c r="D102" s="26"/>
      <c r="E102" s="26"/>
      <c r="F102" s="26"/>
      <c r="G102" s="26"/>
      <c r="H102" s="26"/>
    </row>
    <row r="103" spans="2:8">
      <c r="B103" s="26"/>
      <c r="C103" s="26"/>
      <c r="D103" s="26"/>
      <c r="E103" s="26"/>
      <c r="F103" s="26"/>
      <c r="G103" s="26"/>
      <c r="H103" s="26"/>
    </row>
    <row r="104" spans="2:8">
      <c r="B104" s="26"/>
      <c r="C104" s="26"/>
      <c r="D104" s="26"/>
      <c r="E104" s="26"/>
      <c r="F104" s="26"/>
      <c r="G104" s="26"/>
      <c r="H104" s="26"/>
    </row>
    <row r="105" spans="2:8">
      <c r="B105" s="26"/>
      <c r="C105" s="26"/>
      <c r="D105" s="26"/>
      <c r="E105" s="26"/>
      <c r="F105" s="26"/>
      <c r="G105" s="26"/>
      <c r="H105" s="26"/>
    </row>
  </sheetData>
  <mergeCells count="5">
    <mergeCell ref="A1:T1"/>
    <mergeCell ref="A2:T2"/>
    <mergeCell ref="A3:T3"/>
    <mergeCell ref="A4:T4"/>
    <mergeCell ref="A5:T5"/>
  </mergeCells>
  <phoneticPr fontId="29" type="noConversion"/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  <rowBreaks count="2" manualBreakCount="2">
    <brk id="41" max="19" man="1"/>
    <brk id="75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view="pageLayout" zoomScaleNormal="100" zoomScaleSheetLayoutView="100" workbookViewId="0">
      <selection activeCell="G9" sqref="G9"/>
    </sheetView>
  </sheetViews>
  <sheetFormatPr defaultRowHeight="12.75"/>
  <cols>
    <col min="1" max="1" width="1.85546875" customWidth="1"/>
    <col min="2" max="2" width="21.5703125" customWidth="1"/>
    <col min="3" max="3" width="2.140625" customWidth="1"/>
    <col min="4" max="4" width="12.7109375" customWidth="1"/>
    <col min="5" max="5" width="2.140625" customWidth="1"/>
    <col min="6" max="6" width="12.7109375" customWidth="1"/>
    <col min="7" max="7" width="2.140625" customWidth="1"/>
    <col min="8" max="8" width="12.85546875" customWidth="1"/>
    <col min="9" max="9" width="2.28515625" customWidth="1"/>
    <col min="10" max="10" width="9.7109375" customWidth="1"/>
    <col min="11" max="11" width="2.140625" customWidth="1"/>
    <col min="12" max="12" width="9.7109375" customWidth="1"/>
    <col min="13" max="13" width="2.140625" customWidth="1"/>
    <col min="14" max="14" width="14" customWidth="1"/>
    <col min="15" max="15" width="2.140625" customWidth="1"/>
    <col min="16" max="16" width="13.7109375" customWidth="1"/>
    <col min="17" max="17" width="2.140625" customWidth="1"/>
    <col min="18" max="18" width="11.5703125" customWidth="1"/>
    <col min="19" max="19" width="2.140625" customWidth="1"/>
    <col min="20" max="20" width="12.140625" customWidth="1"/>
  </cols>
  <sheetData>
    <row r="1" spans="1:20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</row>
    <row r="2" spans="1:20">
      <c r="A2" s="375" t="s">
        <v>285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</row>
    <row r="3" spans="1:20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</row>
    <row r="4" spans="1:20">
      <c r="A4" s="375" t="s">
        <v>67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</row>
    <row r="5" spans="1:20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</row>
    <row r="6" spans="1:20">
      <c r="A6" s="104"/>
      <c r="B6" s="104"/>
      <c r="C6" s="104"/>
      <c r="D6" s="104"/>
      <c r="E6" s="104"/>
      <c r="F6" s="104"/>
      <c r="G6" s="104"/>
      <c r="H6" s="104"/>
    </row>
    <row r="7" spans="1:20">
      <c r="A7" s="104"/>
      <c r="B7" s="104"/>
      <c r="C7" s="104"/>
      <c r="D7" s="104"/>
      <c r="E7" s="104"/>
      <c r="F7" s="104"/>
      <c r="G7" s="104"/>
      <c r="H7" s="104"/>
    </row>
    <row r="8" spans="1:20">
      <c r="E8" s="39"/>
      <c r="F8" s="39"/>
      <c r="G8" s="39"/>
      <c r="H8" s="39"/>
      <c r="N8" s="182" t="s">
        <v>304</v>
      </c>
      <c r="R8" s="10" t="s">
        <v>319</v>
      </c>
    </row>
    <row r="9" spans="1:20">
      <c r="A9" s="166"/>
      <c r="B9" s="39"/>
      <c r="C9" s="39"/>
      <c r="D9" s="39"/>
      <c r="E9" s="39"/>
      <c r="F9" s="176" t="s">
        <v>299</v>
      </c>
      <c r="G9" s="39"/>
      <c r="H9" s="176" t="s">
        <v>300</v>
      </c>
      <c r="J9" s="176"/>
      <c r="L9" s="176" t="s">
        <v>300</v>
      </c>
      <c r="N9" s="189" t="s">
        <v>319</v>
      </c>
      <c r="P9" s="176" t="s">
        <v>300</v>
      </c>
      <c r="R9" s="189" t="s">
        <v>307</v>
      </c>
      <c r="T9" s="176" t="s">
        <v>300</v>
      </c>
    </row>
    <row r="10" spans="1:20">
      <c r="A10" s="38"/>
      <c r="B10" s="39"/>
      <c r="C10" s="39"/>
      <c r="D10" s="176" t="s">
        <v>299</v>
      </c>
      <c r="E10" s="39"/>
      <c r="F10" s="176" t="s">
        <v>291</v>
      </c>
      <c r="G10" s="39"/>
      <c r="H10" s="176" t="s">
        <v>291</v>
      </c>
      <c r="J10" s="176" t="s">
        <v>300</v>
      </c>
      <c r="L10" s="182" t="s">
        <v>25</v>
      </c>
      <c r="N10" s="155" t="s">
        <v>299</v>
      </c>
      <c r="P10" s="189" t="s">
        <v>305</v>
      </c>
      <c r="R10" s="189" t="s">
        <v>20</v>
      </c>
      <c r="T10" s="189" t="s">
        <v>20</v>
      </c>
    </row>
    <row r="11" spans="1:20">
      <c r="A11" s="39"/>
      <c r="B11" s="40"/>
      <c r="C11" s="40"/>
      <c r="D11" s="155" t="s">
        <v>291</v>
      </c>
      <c r="E11" s="155"/>
      <c r="F11" s="155" t="s">
        <v>297</v>
      </c>
      <c r="G11" s="40"/>
      <c r="H11" s="155" t="s">
        <v>297</v>
      </c>
      <c r="J11" s="182" t="s">
        <v>25</v>
      </c>
      <c r="L11" s="155" t="s">
        <v>292</v>
      </c>
      <c r="N11" s="155" t="s">
        <v>291</v>
      </c>
      <c r="P11" s="189" t="s">
        <v>306</v>
      </c>
      <c r="R11" s="189" t="s">
        <v>308</v>
      </c>
      <c r="T11" s="189" t="s">
        <v>306</v>
      </c>
    </row>
    <row r="12" spans="1:20">
      <c r="A12" s="12"/>
      <c r="B12" s="168" t="s">
        <v>284</v>
      </c>
      <c r="C12" s="41"/>
      <c r="D12" s="169" t="s">
        <v>292</v>
      </c>
      <c r="E12" s="155"/>
      <c r="F12" s="169" t="s">
        <v>298</v>
      </c>
      <c r="G12" s="41"/>
      <c r="H12" s="169" t="s">
        <v>298</v>
      </c>
      <c r="J12" s="169" t="s">
        <v>292</v>
      </c>
      <c r="L12" s="169" t="s">
        <v>301</v>
      </c>
      <c r="N12" s="190" t="s">
        <v>302</v>
      </c>
      <c r="P12" s="190" t="s">
        <v>301</v>
      </c>
      <c r="R12" s="190" t="s">
        <v>35</v>
      </c>
      <c r="T12" s="190" t="s">
        <v>301</v>
      </c>
    </row>
    <row r="13" spans="1:20">
      <c r="A13" s="12"/>
      <c r="B13" s="167" t="s">
        <v>286</v>
      </c>
      <c r="C13" s="41"/>
      <c r="D13" s="171">
        <v>3.79</v>
      </c>
      <c r="E13" s="171"/>
      <c r="F13" s="171">
        <v>14.76</v>
      </c>
      <c r="G13" s="40"/>
      <c r="H13" s="171">
        <f>F13+1</f>
        <v>15.76</v>
      </c>
      <c r="J13" s="171">
        <f>ROUND((D13*F13)/H13,2)</f>
        <v>3.55</v>
      </c>
      <c r="L13" s="186">
        <f>J13-D13</f>
        <v>-0.24000000000000021</v>
      </c>
      <c r="N13" s="88">
        <f>3469.866-F90</f>
        <v>2558.779</v>
      </c>
      <c r="O13" s="88"/>
      <c r="P13" s="88">
        <f>(L13*N13)/100</f>
        <v>-6.1410696000000051</v>
      </c>
      <c r="R13" s="192">
        <v>0.95113199999999998</v>
      </c>
      <c r="T13" s="88">
        <f>P13*R13</f>
        <v>-5.8409678107872045</v>
      </c>
    </row>
    <row r="14" spans="1:20">
      <c r="A14" s="12"/>
      <c r="B14" s="167" t="s">
        <v>287</v>
      </c>
      <c r="C14" s="41"/>
      <c r="D14" s="172">
        <v>4.16</v>
      </c>
      <c r="E14" s="172"/>
      <c r="F14" s="172">
        <v>16.559999999999999</v>
      </c>
      <c r="G14" s="40"/>
      <c r="H14" s="171">
        <f t="shared" ref="H14:H25" si="0">F14+1</f>
        <v>17.559999999999999</v>
      </c>
      <c r="J14" s="171">
        <f t="shared" ref="J14:J19" si="1">ROUND((D14*F14)/H14,2)</f>
        <v>3.92</v>
      </c>
      <c r="L14" s="186">
        <f t="shared" ref="L14" si="2">J14-D14</f>
        <v>-0.24000000000000021</v>
      </c>
      <c r="N14" s="88">
        <f>8132.213-F92</f>
        <v>8048.5039999999999</v>
      </c>
      <c r="O14" s="88"/>
      <c r="P14" s="88">
        <f>(L14*N14)/100</f>
        <v>-19.316409600000018</v>
      </c>
      <c r="R14" s="192">
        <v>0.93241799999999997</v>
      </c>
      <c r="T14" s="88">
        <f t="shared" ref="T14:T19" si="3">P14*R14</f>
        <v>-18.010968006412817</v>
      </c>
    </row>
    <row r="15" spans="1:20">
      <c r="A15" s="12"/>
      <c r="B15" s="167"/>
      <c r="C15" s="41"/>
      <c r="D15" s="172"/>
      <c r="E15" s="172"/>
      <c r="F15" s="172"/>
      <c r="G15" s="40"/>
      <c r="H15" s="171"/>
      <c r="J15" s="171"/>
      <c r="L15" s="186"/>
      <c r="N15" s="88"/>
      <c r="O15" s="88"/>
      <c r="P15" s="88"/>
      <c r="R15" s="192"/>
      <c r="T15" s="88"/>
    </row>
    <row r="16" spans="1:20">
      <c r="A16" s="12"/>
      <c r="B16" s="167" t="s">
        <v>288</v>
      </c>
      <c r="C16" s="41"/>
      <c r="D16" s="171">
        <v>4.33</v>
      </c>
      <c r="E16" s="171"/>
      <c r="F16" s="171">
        <v>17.93</v>
      </c>
      <c r="G16" s="40"/>
      <c r="H16" s="171"/>
      <c r="J16" s="171"/>
      <c r="L16" s="186"/>
      <c r="N16" s="88"/>
      <c r="O16" s="88"/>
      <c r="P16" s="88"/>
      <c r="R16" s="192"/>
      <c r="T16" s="88">
        <f t="shared" si="3"/>
        <v>0</v>
      </c>
    </row>
    <row r="17" spans="1:20">
      <c r="A17" s="12"/>
      <c r="B17" s="167" t="s">
        <v>289</v>
      </c>
      <c r="C17" s="41"/>
      <c r="D17" s="173">
        <v>3.31</v>
      </c>
      <c r="E17" s="173"/>
      <c r="F17" s="173">
        <v>27.96</v>
      </c>
      <c r="G17" s="40"/>
      <c r="H17" s="171"/>
      <c r="I17" s="4"/>
      <c r="J17" s="171"/>
      <c r="L17" s="186"/>
      <c r="N17" s="88"/>
      <c r="O17" s="88"/>
      <c r="P17" s="88"/>
      <c r="R17" s="192"/>
      <c r="T17" s="88">
        <f t="shared" si="3"/>
        <v>0</v>
      </c>
    </row>
    <row r="18" spans="1:20">
      <c r="A18" s="12"/>
      <c r="B18" s="167" t="s">
        <v>290</v>
      </c>
      <c r="C18" s="41"/>
      <c r="D18" s="174">
        <v>3.18</v>
      </c>
      <c r="E18" s="173"/>
      <c r="F18" s="174">
        <v>26.66</v>
      </c>
      <c r="G18" s="40"/>
      <c r="H18" s="178"/>
      <c r="J18" s="178"/>
      <c r="L18" s="187"/>
      <c r="N18" s="196"/>
      <c r="O18" s="88"/>
      <c r="P18" s="196"/>
      <c r="R18" s="192"/>
      <c r="T18" s="196">
        <f t="shared" si="3"/>
        <v>0</v>
      </c>
    </row>
    <row r="19" spans="1:20">
      <c r="A19" s="12"/>
      <c r="B19" s="167" t="s">
        <v>309</v>
      </c>
      <c r="C19" s="41"/>
      <c r="D19" s="173">
        <f>ROUND(L55,2)</f>
        <v>4.18</v>
      </c>
      <c r="E19" s="173"/>
      <c r="F19" s="173">
        <f>F55</f>
        <v>19.219265996291522</v>
      </c>
      <c r="G19" s="40"/>
      <c r="H19" s="171">
        <f t="shared" si="0"/>
        <v>20.219265996291522</v>
      </c>
      <c r="J19" s="171">
        <f t="shared" si="1"/>
        <v>3.97</v>
      </c>
      <c r="L19" s="186">
        <f>J19-D19</f>
        <v>-0.20999999999999952</v>
      </c>
      <c r="N19" s="45">
        <f>13811.108-F99-N64</f>
        <v>11756.815999999999</v>
      </c>
      <c r="O19" s="88"/>
      <c r="P19" s="88">
        <f>(L19*N19)/100</f>
        <v>-24.689313599999942</v>
      </c>
      <c r="R19" s="192">
        <v>0.95108499999999996</v>
      </c>
      <c r="T19" s="88">
        <f t="shared" si="3"/>
        <v>-23.481635825255943</v>
      </c>
    </row>
    <row r="20" spans="1:20">
      <c r="A20" s="12"/>
      <c r="B20" s="41"/>
      <c r="C20" s="41"/>
      <c r="D20" s="171"/>
      <c r="E20" s="171"/>
      <c r="F20" s="171"/>
      <c r="G20" s="40"/>
      <c r="H20" s="171"/>
      <c r="J20" s="171"/>
      <c r="L20" s="10"/>
      <c r="N20" s="88"/>
      <c r="O20" s="88"/>
      <c r="P20" s="88"/>
      <c r="R20" s="192"/>
      <c r="T20" s="88"/>
    </row>
    <row r="21" spans="1:20">
      <c r="A21" s="12"/>
      <c r="B21" s="167" t="s">
        <v>293</v>
      </c>
      <c r="C21" s="41"/>
      <c r="D21" s="171">
        <v>2.5</v>
      </c>
      <c r="E21" s="171"/>
      <c r="F21" s="173">
        <v>36.03</v>
      </c>
      <c r="G21" s="40"/>
      <c r="H21" s="171">
        <f t="shared" si="0"/>
        <v>37.03</v>
      </c>
      <c r="J21" s="171">
        <f t="shared" ref="J21:J25" si="4">ROUND((D21*F21)/H21,2)</f>
        <v>2.4300000000000002</v>
      </c>
      <c r="L21" s="186">
        <f t="shared" ref="L21:L23" si="5">J21-D21</f>
        <v>-6.999999999999984E-2</v>
      </c>
      <c r="N21" s="88">
        <f>5774.132-F101</f>
        <v>5765.4619999999995</v>
      </c>
      <c r="O21" s="88"/>
      <c r="P21" s="88">
        <f>(L21*N21)/100</f>
        <v>-4.0358233999999902</v>
      </c>
      <c r="R21" s="192">
        <v>0.90313500000000002</v>
      </c>
      <c r="T21" s="88">
        <f t="shared" ref="T21:T23" si="6">P21*R21</f>
        <v>-3.6448933663589913</v>
      </c>
    </row>
    <row r="22" spans="1:20">
      <c r="A22" s="29"/>
      <c r="B22" s="167" t="s">
        <v>294</v>
      </c>
      <c r="C22" s="42"/>
      <c r="D22" s="173">
        <v>3.19</v>
      </c>
      <c r="E22" s="173"/>
      <c r="F22" s="173">
        <v>32.28</v>
      </c>
      <c r="G22" s="179"/>
      <c r="H22" s="171">
        <f t="shared" si="0"/>
        <v>33.28</v>
      </c>
      <c r="J22" s="171">
        <f t="shared" si="4"/>
        <v>3.09</v>
      </c>
      <c r="L22" s="186">
        <f t="shared" si="5"/>
        <v>-0.10000000000000009</v>
      </c>
      <c r="N22" s="88">
        <v>16678.022000000001</v>
      </c>
      <c r="O22" s="88"/>
      <c r="P22" s="88">
        <f>(L22*N22)/100</f>
        <v>-16.678022000000016</v>
      </c>
      <c r="R22" s="192">
        <v>0.99973599999999996</v>
      </c>
      <c r="T22" s="88">
        <f t="shared" si="6"/>
        <v>-16.673619002192016</v>
      </c>
    </row>
    <row r="23" spans="1:20">
      <c r="A23" s="29"/>
      <c r="B23" s="167" t="s">
        <v>295</v>
      </c>
      <c r="C23" s="42"/>
      <c r="D23" s="181">
        <v>3.94</v>
      </c>
      <c r="E23" s="175"/>
      <c r="F23" s="174">
        <v>17.239999999999998</v>
      </c>
      <c r="G23" s="179"/>
      <c r="H23" s="178">
        <f t="shared" si="0"/>
        <v>18.239999999999998</v>
      </c>
      <c r="I23" s="29"/>
      <c r="J23" s="178">
        <f t="shared" si="4"/>
        <v>3.72</v>
      </c>
      <c r="L23" s="187">
        <f t="shared" si="5"/>
        <v>-0.21999999999999975</v>
      </c>
      <c r="N23" s="196">
        <f>518.649+472.315+356.175-F103</f>
        <v>1340.9979999999998</v>
      </c>
      <c r="O23" s="88"/>
      <c r="P23" s="196">
        <f>(L23*N23)/100</f>
        <v>-2.9501955999999963</v>
      </c>
      <c r="R23" s="192">
        <v>0.96845999999999999</v>
      </c>
      <c r="T23" s="196">
        <f t="shared" si="6"/>
        <v>-2.8571464307759964</v>
      </c>
    </row>
    <row r="24" spans="1:20">
      <c r="A24" s="29"/>
      <c r="B24" s="42"/>
      <c r="C24" s="42"/>
      <c r="D24" s="175"/>
      <c r="E24" s="175"/>
      <c r="F24" s="180"/>
      <c r="G24" s="179"/>
      <c r="H24" s="171"/>
      <c r="J24" s="171"/>
      <c r="L24" s="10"/>
      <c r="N24" s="88"/>
      <c r="O24" s="88"/>
      <c r="P24" s="88"/>
      <c r="R24" s="192"/>
      <c r="T24" s="88"/>
    </row>
    <row r="25" spans="1:20" ht="13.5" thickBot="1">
      <c r="A25" s="29"/>
      <c r="B25" s="170" t="s">
        <v>296</v>
      </c>
      <c r="C25" s="42"/>
      <c r="D25" s="183">
        <v>3.6</v>
      </c>
      <c r="E25" s="175"/>
      <c r="F25" s="184">
        <v>23.65</v>
      </c>
      <c r="G25" s="179"/>
      <c r="H25" s="185">
        <f t="shared" si="0"/>
        <v>24.65</v>
      </c>
      <c r="J25" s="185">
        <f t="shared" si="4"/>
        <v>3.45</v>
      </c>
      <c r="L25" s="188">
        <f>J25-D25</f>
        <v>-0.14999999999999991</v>
      </c>
      <c r="N25" s="197">
        <f>N13+N14+N19+N21+N22+N23</f>
        <v>46148.580999999998</v>
      </c>
      <c r="O25" s="88"/>
      <c r="P25" s="197">
        <f>P13+P14+P19+P21+P22+P23</f>
        <v>-73.810833799999969</v>
      </c>
      <c r="T25" s="197">
        <f>T13+T14+T19+T21+T22+T23</f>
        <v>-70.509230441782975</v>
      </c>
    </row>
    <row r="26" spans="1:20" ht="13.5" thickTop="1">
      <c r="A26" s="29"/>
      <c r="B26" s="42"/>
      <c r="C26" s="42"/>
      <c r="D26" s="45"/>
      <c r="E26" s="45"/>
      <c r="F26" s="45"/>
      <c r="G26" s="42"/>
      <c r="H26" s="177"/>
      <c r="J26" s="29"/>
      <c r="L26" s="10"/>
    </row>
    <row r="27" spans="1:20">
      <c r="A27" s="29"/>
      <c r="B27" s="42"/>
      <c r="C27" s="42"/>
      <c r="D27" s="45"/>
      <c r="E27" s="45"/>
      <c r="F27" s="45"/>
      <c r="G27" s="42"/>
      <c r="H27" s="177"/>
      <c r="J27" s="29"/>
      <c r="L27" s="10"/>
      <c r="N27" s="11">
        <v>2018</v>
      </c>
      <c r="O27" s="11"/>
      <c r="P27" s="11">
        <v>2017</v>
      </c>
    </row>
    <row r="28" spans="1:20">
      <c r="A28" s="29"/>
      <c r="B28" s="167" t="s">
        <v>424</v>
      </c>
      <c r="C28" s="42"/>
      <c r="D28" s="45"/>
      <c r="E28" s="45"/>
      <c r="F28" s="45"/>
      <c r="G28" s="42"/>
      <c r="H28" s="177"/>
      <c r="J28" s="29"/>
      <c r="L28" s="10"/>
      <c r="N28" s="45"/>
      <c r="P28" s="45">
        <f>-'Exh. LK-11 (Pages 1-3)'!T25</f>
        <v>67.551304716143676</v>
      </c>
    </row>
    <row r="29" spans="1:20">
      <c r="A29" s="29"/>
      <c r="B29" s="167" t="s">
        <v>429</v>
      </c>
      <c r="C29" s="42"/>
      <c r="D29" s="45"/>
      <c r="E29" s="45"/>
      <c r="F29" s="45"/>
      <c r="G29" s="42"/>
      <c r="H29" s="177"/>
      <c r="J29" s="29"/>
      <c r="L29" s="10"/>
      <c r="N29" s="45"/>
      <c r="P29" s="45">
        <f>-P28*0.38575</f>
        <v>-26.057915794252423</v>
      </c>
    </row>
    <row r="30" spans="1:20">
      <c r="A30" s="29"/>
      <c r="B30" s="167" t="s">
        <v>431</v>
      </c>
      <c r="C30" s="42"/>
      <c r="D30" s="45"/>
      <c r="E30" s="45"/>
      <c r="F30" s="45"/>
      <c r="G30" s="42"/>
      <c r="H30" s="177"/>
      <c r="J30" s="29"/>
      <c r="L30" s="10"/>
      <c r="N30" s="45"/>
      <c r="P30" s="45"/>
    </row>
    <row r="31" spans="1:20">
      <c r="A31" s="29"/>
      <c r="B31" s="167"/>
      <c r="C31" s="42"/>
      <c r="D31" s="45"/>
      <c r="E31" s="45"/>
      <c r="F31" s="45"/>
      <c r="G31" s="42"/>
      <c r="H31" s="177"/>
      <c r="J31" s="29"/>
      <c r="L31" s="10"/>
      <c r="N31" s="45"/>
      <c r="P31" s="45"/>
    </row>
    <row r="32" spans="1:20">
      <c r="A32" s="29"/>
      <c r="B32" s="167" t="s">
        <v>428</v>
      </c>
      <c r="C32" s="42"/>
      <c r="D32" s="45"/>
      <c r="E32" s="45"/>
      <c r="F32" s="45"/>
      <c r="G32" s="42"/>
      <c r="H32" s="177"/>
      <c r="J32" s="29"/>
      <c r="L32" s="10"/>
      <c r="N32" s="45">
        <f>-T25</f>
        <v>70.509230441782975</v>
      </c>
      <c r="P32" s="45"/>
    </row>
    <row r="33" spans="1:16">
      <c r="A33" s="29"/>
      <c r="B33" s="167" t="s">
        <v>468</v>
      </c>
      <c r="C33" s="42"/>
      <c r="D33" s="45"/>
      <c r="E33" s="45"/>
      <c r="F33" s="45"/>
      <c r="G33" s="42"/>
      <c r="H33" s="177"/>
      <c r="J33" s="29"/>
      <c r="L33" s="10"/>
      <c r="N33" s="198">
        <f>-N32*0.38575</f>
        <v>-27.198935642917782</v>
      </c>
      <c r="P33" s="198"/>
    </row>
    <row r="34" spans="1:16">
      <c r="A34" s="29"/>
      <c r="B34" s="167" t="s">
        <v>430</v>
      </c>
      <c r="C34" s="42"/>
      <c r="D34" s="45"/>
      <c r="E34" s="45"/>
      <c r="F34" s="45"/>
      <c r="G34" s="42"/>
      <c r="H34" s="177"/>
      <c r="J34" s="29"/>
      <c r="L34" s="10"/>
      <c r="N34" s="45">
        <f>SUM(N28:N33)</f>
        <v>43.310294798865193</v>
      </c>
      <c r="P34" s="45"/>
    </row>
    <row r="35" spans="1:16">
      <c r="A35" s="29"/>
      <c r="B35" s="167"/>
      <c r="C35" s="42"/>
      <c r="D35" s="45"/>
      <c r="E35" s="45"/>
      <c r="F35" s="45"/>
      <c r="G35" s="42"/>
      <c r="H35" s="177"/>
      <c r="J35" s="29"/>
      <c r="L35" s="10"/>
      <c r="N35" s="45"/>
      <c r="P35" s="45"/>
    </row>
    <row r="36" spans="1:16">
      <c r="A36" s="29"/>
      <c r="B36" s="167" t="s">
        <v>425</v>
      </c>
      <c r="C36" s="42"/>
      <c r="D36" s="45"/>
      <c r="E36" s="45"/>
      <c r="F36" s="45"/>
      <c r="G36" s="42"/>
      <c r="H36" s="177"/>
      <c r="J36" s="29"/>
      <c r="L36" s="10"/>
      <c r="N36" s="45">
        <f>N34/2</f>
        <v>21.655147399432597</v>
      </c>
      <c r="P36" s="45">
        <f>P28+P29</f>
        <v>41.493388921891253</v>
      </c>
    </row>
    <row r="37" spans="1:16">
      <c r="A37" s="29"/>
      <c r="B37" s="167" t="s">
        <v>422</v>
      </c>
      <c r="C37" s="42"/>
      <c r="D37" s="45"/>
      <c r="E37" s="45"/>
      <c r="F37" s="259"/>
      <c r="G37" s="42"/>
      <c r="H37" s="177"/>
      <c r="J37" s="29"/>
      <c r="L37" s="10"/>
      <c r="N37" s="260">
        <f>'Exh. LK-28'!J19</f>
        <v>9.8804316192411479E-2</v>
      </c>
      <c r="P37" s="260">
        <f>'Exh. LK-28'!J19</f>
        <v>9.8804316192411479E-2</v>
      </c>
    </row>
    <row r="38" spans="1:16" ht="13.5" thickBot="1">
      <c r="A38" s="29"/>
      <c r="B38" s="167" t="s">
        <v>423</v>
      </c>
      <c r="C38" s="42"/>
      <c r="D38" s="45"/>
      <c r="E38" s="45"/>
      <c r="F38" s="45"/>
      <c r="G38" s="42"/>
      <c r="H38" s="177"/>
      <c r="J38" s="29"/>
      <c r="L38" s="10"/>
      <c r="N38" s="261">
        <f>N36*N37</f>
        <v>2.1396220308468155</v>
      </c>
      <c r="P38" s="261">
        <f>P36*P37</f>
        <v>4.0997259189332471</v>
      </c>
    </row>
    <row r="39" spans="1:16" ht="13.5" thickTop="1">
      <c r="A39" s="29"/>
      <c r="B39" s="42"/>
      <c r="C39" s="42"/>
      <c r="D39" s="45"/>
      <c r="E39" s="45"/>
      <c r="F39" s="45"/>
      <c r="G39" s="42"/>
      <c r="H39" s="177"/>
      <c r="J39" s="29"/>
      <c r="L39" s="10"/>
    </row>
    <row r="40" spans="1:16" ht="13.5" thickBot="1">
      <c r="A40" s="29"/>
      <c r="B40" s="167" t="s">
        <v>432</v>
      </c>
      <c r="C40" s="42"/>
      <c r="D40" s="45"/>
      <c r="E40" s="45"/>
      <c r="F40" s="45"/>
      <c r="G40" s="42"/>
      <c r="H40" s="177"/>
      <c r="J40" s="29"/>
      <c r="L40" s="10"/>
      <c r="N40" s="209">
        <f>T25+N38+P38</f>
        <v>-64.269882492002921</v>
      </c>
      <c r="P40" s="262"/>
    </row>
    <row r="41" spans="1:16" ht="13.5" thickTop="1">
      <c r="A41" s="29"/>
      <c r="B41" s="42"/>
      <c r="C41" s="42"/>
      <c r="D41" s="45"/>
      <c r="E41" s="45"/>
      <c r="F41" s="45"/>
      <c r="G41" s="42"/>
      <c r="H41" s="177"/>
      <c r="J41" s="29"/>
      <c r="L41" s="10"/>
    </row>
    <row r="42" spans="1:16">
      <c r="A42" s="29"/>
      <c r="B42" s="42"/>
      <c r="C42" s="42"/>
      <c r="D42" s="45"/>
      <c r="E42" s="45"/>
      <c r="F42" s="45"/>
      <c r="G42" s="42"/>
      <c r="H42" s="42"/>
      <c r="J42" s="29"/>
    </row>
    <row r="43" spans="1:16">
      <c r="A43" s="166" t="s">
        <v>334</v>
      </c>
      <c r="B43" s="39"/>
      <c r="C43" s="39"/>
      <c r="D43" s="39"/>
      <c r="E43" s="45"/>
      <c r="F43" s="45"/>
      <c r="G43" s="42"/>
      <c r="H43" s="42"/>
    </row>
    <row r="44" spans="1:16">
      <c r="A44" s="29"/>
      <c r="B44" s="42"/>
      <c r="C44" s="42"/>
      <c r="D44" s="45"/>
      <c r="E44" s="45"/>
      <c r="F44" s="45"/>
      <c r="G44" s="42"/>
      <c r="H44" s="42"/>
    </row>
    <row r="45" spans="1:16">
      <c r="A45" s="29"/>
      <c r="B45" s="42"/>
      <c r="C45" s="42"/>
      <c r="D45" s="45"/>
      <c r="E45" s="45"/>
      <c r="F45" s="45"/>
      <c r="G45" s="42"/>
      <c r="H45" s="42"/>
    </row>
    <row r="46" spans="1:16">
      <c r="A46" s="29"/>
      <c r="B46" s="42"/>
      <c r="C46" s="42"/>
      <c r="D46" s="42"/>
      <c r="E46" s="42"/>
      <c r="F46" s="42"/>
      <c r="G46" s="42"/>
      <c r="H46" s="42"/>
    </row>
    <row r="47" spans="1:16">
      <c r="A47" s="29"/>
      <c r="B47" s="42"/>
      <c r="C47" s="42"/>
      <c r="D47" s="45"/>
      <c r="E47" s="45"/>
      <c r="F47" s="45"/>
      <c r="G47" s="42"/>
      <c r="H47" s="42"/>
    </row>
    <row r="48" spans="1:16">
      <c r="A48" s="29"/>
      <c r="B48" s="42"/>
      <c r="C48" s="42"/>
      <c r="D48" s="42"/>
      <c r="E48" s="42"/>
      <c r="F48" s="42"/>
      <c r="G48" s="42"/>
      <c r="H48" s="42"/>
    </row>
    <row r="49" spans="1:14">
      <c r="A49" s="29"/>
      <c r="B49" s="42"/>
      <c r="C49" s="42"/>
      <c r="D49" s="46"/>
      <c r="E49" s="46"/>
      <c r="F49" s="46"/>
      <c r="G49" s="42"/>
      <c r="H49" s="42"/>
    </row>
    <row r="50" spans="1:14">
      <c r="A50" s="29"/>
      <c r="B50" s="167" t="s">
        <v>310</v>
      </c>
      <c r="C50" s="42"/>
      <c r="D50" s="42"/>
      <c r="E50" s="42"/>
      <c r="F50" s="195" t="s">
        <v>311</v>
      </c>
      <c r="G50" s="42"/>
      <c r="H50" s="42"/>
      <c r="L50" s="158" t="s">
        <v>292</v>
      </c>
    </row>
    <row r="51" spans="1:14">
      <c r="A51" s="29"/>
      <c r="B51" s="167" t="s">
        <v>288</v>
      </c>
      <c r="C51" s="42"/>
      <c r="D51" s="45">
        <v>8453.6117269999995</v>
      </c>
      <c r="E51" s="46"/>
      <c r="F51" s="194">
        <f>F16</f>
        <v>17.93</v>
      </c>
      <c r="G51" s="42"/>
      <c r="H51" s="45">
        <f>D51*F51</f>
        <v>151573.25826510999</v>
      </c>
      <c r="L51" s="200">
        <v>4.33</v>
      </c>
      <c r="N51" s="88">
        <f>D51*L51</f>
        <v>36604.138777909997</v>
      </c>
    </row>
    <row r="52" spans="1:14">
      <c r="A52" s="29"/>
      <c r="B52" s="167" t="s">
        <v>289</v>
      </c>
      <c r="C52" s="42"/>
      <c r="D52" s="45">
        <v>488.567362</v>
      </c>
      <c r="E52" s="42"/>
      <c r="F52" s="194">
        <f>F17</f>
        <v>27.96</v>
      </c>
      <c r="G52" s="42"/>
      <c r="H52" s="45">
        <f>D52*F52</f>
        <v>13660.343441520001</v>
      </c>
      <c r="L52" s="201">
        <v>3.31</v>
      </c>
      <c r="N52" s="88">
        <f t="shared" ref="N52:N53" si="7">D52*L52</f>
        <v>1617.1579682199999</v>
      </c>
    </row>
    <row r="53" spans="1:14">
      <c r="A53" s="29"/>
      <c r="B53" s="167" t="s">
        <v>290</v>
      </c>
      <c r="C53" s="42"/>
      <c r="D53" s="198">
        <v>890.84178899999995</v>
      </c>
      <c r="E53" s="42"/>
      <c r="F53" s="199">
        <f>F18</f>
        <v>26.66</v>
      </c>
      <c r="G53" s="42"/>
      <c r="H53" s="198">
        <f>D53*F53</f>
        <v>23749.842094739997</v>
      </c>
      <c r="L53" s="202">
        <v>3.18</v>
      </c>
      <c r="N53" s="196">
        <f t="shared" si="7"/>
        <v>2832.8768890199999</v>
      </c>
    </row>
    <row r="54" spans="1:14">
      <c r="A54" s="29"/>
      <c r="B54" s="42"/>
      <c r="C54" s="42"/>
      <c r="D54" s="45"/>
      <c r="E54" s="42"/>
      <c r="F54" s="42"/>
      <c r="G54" s="42"/>
      <c r="H54" s="45"/>
      <c r="N54" s="88"/>
    </row>
    <row r="55" spans="1:14" ht="13.5" thickBot="1">
      <c r="A55" s="29"/>
      <c r="B55" s="42" t="s">
        <v>320</v>
      </c>
      <c r="C55" s="42"/>
      <c r="D55" s="203">
        <f>SUM(D51:D54)</f>
        <v>9833.0208779999994</v>
      </c>
      <c r="E55" s="42"/>
      <c r="F55" s="205">
        <f>H55/D55</f>
        <v>19.219265996291522</v>
      </c>
      <c r="G55" s="42"/>
      <c r="H55" s="203">
        <f>SUM(H51:H54)</f>
        <v>188983.44380136998</v>
      </c>
      <c r="L55" s="207">
        <f>N55/D55</f>
        <v>4.1751333740176362</v>
      </c>
      <c r="N55" s="197">
        <f>SUM(N51:N54)</f>
        <v>41054.17363515</v>
      </c>
    </row>
    <row r="56" spans="1:14" ht="13.5" thickTop="1">
      <c r="A56" s="29"/>
      <c r="B56" s="42"/>
      <c r="C56" s="42"/>
      <c r="D56" s="45"/>
      <c r="E56" s="45"/>
      <c r="F56" s="45"/>
      <c r="G56" s="42"/>
      <c r="H56" s="45"/>
    </row>
    <row r="57" spans="1:14">
      <c r="A57" s="29"/>
      <c r="B57" s="42"/>
      <c r="C57" s="42"/>
      <c r="D57" s="45"/>
      <c r="E57" s="45"/>
      <c r="F57" s="45"/>
      <c r="G57" s="42"/>
      <c r="H57" s="42"/>
    </row>
    <row r="58" spans="1:14">
      <c r="A58" s="29"/>
      <c r="B58" s="42"/>
      <c r="C58" s="42"/>
      <c r="D58" s="45"/>
      <c r="E58" s="45"/>
      <c r="F58" s="45"/>
      <c r="G58" s="42"/>
      <c r="H58" s="42"/>
    </row>
    <row r="59" spans="1:14">
      <c r="A59" s="29"/>
      <c r="B59" s="42"/>
      <c r="C59" s="42"/>
      <c r="D59" s="45"/>
      <c r="E59" s="45"/>
      <c r="F59" s="45"/>
      <c r="G59" s="42"/>
      <c r="H59" s="42" t="s">
        <v>312</v>
      </c>
    </row>
    <row r="60" spans="1:14">
      <c r="A60" s="29"/>
      <c r="B60" s="42"/>
      <c r="C60" s="42"/>
      <c r="D60" s="45"/>
      <c r="E60" s="45"/>
      <c r="F60" s="45"/>
      <c r="G60" s="42"/>
      <c r="H60" s="42"/>
      <c r="N60" s="204">
        <f>N25</f>
        <v>46148.580999999998</v>
      </c>
    </row>
    <row r="61" spans="1:14">
      <c r="A61" s="29"/>
      <c r="B61" s="42"/>
      <c r="C61" s="42"/>
      <c r="D61" s="45"/>
      <c r="E61" s="45"/>
      <c r="F61" s="45"/>
      <c r="G61" s="42"/>
      <c r="H61" s="42" t="s">
        <v>314</v>
      </c>
      <c r="N61" s="204">
        <v>1111.7260000000001</v>
      </c>
    </row>
    <row r="62" spans="1:14">
      <c r="A62" s="29"/>
      <c r="B62" s="42"/>
      <c r="C62" s="42"/>
      <c r="D62" s="45"/>
      <c r="E62" s="45"/>
      <c r="F62" s="45"/>
      <c r="G62" s="42"/>
      <c r="H62" s="42" t="s">
        <v>313</v>
      </c>
      <c r="N62">
        <v>57.676000000000002</v>
      </c>
    </row>
    <row r="63" spans="1:14">
      <c r="A63" s="29"/>
      <c r="B63" s="42"/>
      <c r="C63" s="42"/>
      <c r="D63" s="45"/>
      <c r="E63" s="45"/>
      <c r="F63" s="45"/>
      <c r="G63" s="42"/>
      <c r="H63" s="42" t="s">
        <v>315</v>
      </c>
      <c r="N63">
        <v>107.383</v>
      </c>
    </row>
    <row r="64" spans="1:14">
      <c r="A64" s="29"/>
      <c r="B64" s="42"/>
      <c r="C64" s="42"/>
      <c r="D64" s="45"/>
      <c r="E64" s="45"/>
      <c r="F64" s="45"/>
      <c r="G64" s="42"/>
      <c r="H64" s="167" t="s">
        <v>341</v>
      </c>
      <c r="N64" s="88">
        <v>1409.94</v>
      </c>
    </row>
    <row r="65" spans="1:14">
      <c r="A65" s="29"/>
      <c r="B65" s="42"/>
      <c r="C65" s="42"/>
      <c r="D65" s="45"/>
      <c r="E65" s="45"/>
      <c r="F65" s="45"/>
      <c r="G65" s="42"/>
      <c r="H65" s="167" t="s">
        <v>344</v>
      </c>
      <c r="N65" s="204">
        <f>F105</f>
        <v>1653.9589999999998</v>
      </c>
    </row>
    <row r="66" spans="1:14">
      <c r="A66" s="29"/>
      <c r="B66" s="42"/>
      <c r="C66" s="42"/>
      <c r="D66" s="45"/>
      <c r="E66" s="45"/>
      <c r="F66" s="45"/>
      <c r="G66" s="42"/>
      <c r="H66" s="42" t="s">
        <v>317</v>
      </c>
      <c r="N66">
        <v>2.6619999999999999</v>
      </c>
    </row>
    <row r="67" spans="1:14">
      <c r="A67" s="29"/>
      <c r="B67" s="42"/>
      <c r="C67" s="42"/>
      <c r="D67" s="45"/>
      <c r="E67" s="45"/>
      <c r="F67" s="45"/>
      <c r="G67" s="42"/>
      <c r="H67" s="42" t="s">
        <v>318</v>
      </c>
      <c r="N67" s="193">
        <v>0.59899999999999998</v>
      </c>
    </row>
    <row r="68" spans="1:14" ht="13.5" thickBot="1">
      <c r="A68" s="29"/>
      <c r="B68" s="42"/>
      <c r="C68" s="42"/>
      <c r="D68" s="42"/>
      <c r="E68" s="42"/>
      <c r="F68" s="42"/>
      <c r="G68" s="42"/>
      <c r="H68" s="42" t="s">
        <v>316</v>
      </c>
      <c r="N68" s="208">
        <f>SUM(N60:N67)</f>
        <v>50492.526000000005</v>
      </c>
    </row>
    <row r="69" spans="1:14" ht="13.5" thickTop="1">
      <c r="A69" s="29"/>
      <c r="B69" s="42"/>
      <c r="C69" s="42"/>
      <c r="D69" s="46"/>
      <c r="E69" s="46"/>
      <c r="F69" s="46"/>
      <c r="G69" s="42"/>
      <c r="H69" s="42"/>
    </row>
    <row r="70" spans="1:14">
      <c r="B70" s="26"/>
      <c r="C70" s="26"/>
      <c r="D70" s="26"/>
      <c r="E70" s="26"/>
      <c r="F70" s="26"/>
      <c r="G70" s="26"/>
      <c r="H70" s="26"/>
    </row>
    <row r="71" spans="1:14">
      <c r="B71" s="26"/>
      <c r="C71" s="26"/>
      <c r="D71" s="26"/>
      <c r="E71" s="26"/>
      <c r="F71" s="26"/>
      <c r="G71" s="26"/>
      <c r="H71" s="26"/>
    </row>
    <row r="72" spans="1:14">
      <c r="B72" s="26"/>
      <c r="C72" s="26"/>
      <c r="D72" s="26"/>
      <c r="E72" s="26"/>
      <c r="F72" s="26"/>
      <c r="G72" s="26"/>
      <c r="H72" s="26"/>
    </row>
    <row r="73" spans="1:14">
      <c r="B73" s="26"/>
      <c r="C73" s="26"/>
      <c r="D73" s="26"/>
      <c r="E73" s="26"/>
      <c r="F73" s="26"/>
      <c r="G73" s="26"/>
      <c r="H73" s="26"/>
    </row>
    <row r="74" spans="1:14">
      <c r="B74" s="26"/>
      <c r="C74" s="26"/>
      <c r="D74" s="26"/>
      <c r="E74" s="26"/>
      <c r="F74" s="26"/>
      <c r="G74" s="26"/>
      <c r="H74" s="26"/>
    </row>
    <row r="75" spans="1:14">
      <c r="B75" s="26"/>
      <c r="C75" s="26"/>
      <c r="D75" s="26"/>
      <c r="E75" s="26"/>
      <c r="F75" s="26"/>
      <c r="G75" s="26"/>
      <c r="H75" s="26"/>
    </row>
    <row r="76" spans="1:14">
      <c r="B76" s="26"/>
      <c r="C76" s="26"/>
      <c r="D76" s="26"/>
      <c r="E76" s="26"/>
      <c r="F76" s="26"/>
      <c r="G76" s="26"/>
      <c r="H76" s="26"/>
    </row>
    <row r="77" spans="1:14">
      <c r="B77" s="26"/>
      <c r="C77" s="26"/>
      <c r="D77" s="26"/>
      <c r="E77" s="26"/>
      <c r="F77" s="26"/>
      <c r="G77" s="26"/>
      <c r="H77" s="26"/>
    </row>
    <row r="78" spans="1:14">
      <c r="B78" s="26"/>
      <c r="C78" s="26"/>
      <c r="D78" s="26"/>
      <c r="E78" s="26"/>
      <c r="F78" s="26"/>
      <c r="G78" s="26"/>
      <c r="H78" s="26"/>
    </row>
    <row r="79" spans="1:14">
      <c r="B79" s="26"/>
      <c r="C79" s="26"/>
      <c r="D79" s="26"/>
      <c r="E79" s="26"/>
      <c r="F79" s="26"/>
      <c r="G79" s="26"/>
      <c r="H79" s="26"/>
    </row>
    <row r="80" spans="1:14">
      <c r="B80" s="26"/>
      <c r="C80" s="26"/>
      <c r="D80" s="26"/>
      <c r="E80" s="26"/>
      <c r="F80" s="26"/>
      <c r="G80" s="26"/>
      <c r="H80" s="26"/>
    </row>
    <row r="81" spans="1:8">
      <c r="B81" s="26"/>
      <c r="C81" s="26"/>
      <c r="D81" s="26"/>
      <c r="E81" s="26"/>
      <c r="F81" s="26"/>
      <c r="G81" s="26"/>
      <c r="H81" s="26"/>
    </row>
    <row r="82" spans="1:8">
      <c r="A82" s="158" t="s">
        <v>326</v>
      </c>
      <c r="B82" s="26"/>
      <c r="C82" s="26"/>
      <c r="D82" s="26"/>
      <c r="E82" s="26"/>
      <c r="F82" s="26"/>
      <c r="G82" s="26"/>
      <c r="H82" s="26"/>
    </row>
    <row r="83" spans="1:8">
      <c r="A83" s="158"/>
      <c r="B83" s="26"/>
      <c r="C83" s="26"/>
      <c r="D83" s="26"/>
      <c r="E83" s="26"/>
      <c r="F83" s="212" t="s">
        <v>330</v>
      </c>
      <c r="G83" s="26"/>
      <c r="H83" s="26"/>
    </row>
    <row r="84" spans="1:8">
      <c r="B84" s="212" t="s">
        <v>327</v>
      </c>
      <c r="C84" s="26"/>
      <c r="D84" s="26"/>
      <c r="E84" s="26"/>
      <c r="F84" s="26"/>
      <c r="G84" s="26"/>
      <c r="H84" s="26"/>
    </row>
    <row r="85" spans="1:8">
      <c r="B85" s="213" t="s">
        <v>328</v>
      </c>
      <c r="C85" s="26"/>
      <c r="D85" s="26"/>
      <c r="E85" s="26"/>
      <c r="F85" s="215">
        <v>191.53899999999999</v>
      </c>
      <c r="G85" s="26"/>
      <c r="H85" s="26"/>
    </row>
    <row r="86" spans="1:8">
      <c r="B86" s="213" t="s">
        <v>329</v>
      </c>
      <c r="C86" s="26"/>
      <c r="D86" s="26"/>
      <c r="E86" s="26"/>
      <c r="F86" s="215">
        <v>486.45400000000001</v>
      </c>
      <c r="G86" s="26"/>
      <c r="H86" s="26"/>
    </row>
    <row r="87" spans="1:8">
      <c r="B87" s="214" t="s">
        <v>331</v>
      </c>
      <c r="C87" s="26"/>
      <c r="D87" s="26"/>
      <c r="E87" s="26"/>
      <c r="F87" s="215">
        <v>28.428999999999998</v>
      </c>
      <c r="G87" s="26"/>
      <c r="H87" s="26"/>
    </row>
    <row r="88" spans="1:8">
      <c r="B88" s="214" t="s">
        <v>332</v>
      </c>
      <c r="C88" s="26"/>
      <c r="D88" s="26"/>
      <c r="E88" s="26"/>
      <c r="F88" s="215">
        <v>26.91</v>
      </c>
      <c r="G88" s="26"/>
      <c r="H88" s="26"/>
    </row>
    <row r="89" spans="1:8">
      <c r="B89" s="214" t="s">
        <v>333</v>
      </c>
      <c r="C89" s="26"/>
      <c r="D89" s="26"/>
      <c r="E89" s="26"/>
      <c r="F89" s="196">
        <v>177.755</v>
      </c>
      <c r="G89" s="26"/>
      <c r="H89" s="26"/>
    </row>
    <row r="90" spans="1:8">
      <c r="B90" s="167" t="s">
        <v>335</v>
      </c>
      <c r="C90" s="26"/>
      <c r="D90" s="26"/>
      <c r="E90" s="26"/>
      <c r="F90" s="215">
        <f>SUM(F85:F89)</f>
        <v>911.08699999999988</v>
      </c>
      <c r="G90" s="26"/>
      <c r="H90" s="26"/>
    </row>
    <row r="91" spans="1:8">
      <c r="B91" s="26"/>
      <c r="C91" s="26"/>
      <c r="D91" s="26"/>
      <c r="E91" s="26"/>
      <c r="F91" s="215"/>
      <c r="G91" s="26"/>
      <c r="H91" s="26"/>
    </row>
    <row r="92" spans="1:8">
      <c r="B92" s="167" t="s">
        <v>336</v>
      </c>
      <c r="C92" s="26"/>
      <c r="D92" s="26"/>
      <c r="E92" s="26"/>
      <c r="F92" s="215">
        <v>83.709000000000003</v>
      </c>
      <c r="G92" s="26"/>
      <c r="H92" s="26"/>
    </row>
    <row r="93" spans="1:8">
      <c r="B93" s="26"/>
      <c r="C93" s="26"/>
      <c r="D93" s="26"/>
      <c r="E93" s="26"/>
      <c r="F93" s="215"/>
      <c r="G93" s="26"/>
      <c r="H93" s="26"/>
    </row>
    <row r="94" spans="1:8">
      <c r="B94" s="170" t="s">
        <v>310</v>
      </c>
      <c r="C94" s="26"/>
      <c r="D94" s="26"/>
      <c r="E94" s="26"/>
      <c r="F94" s="215"/>
      <c r="G94" s="26"/>
      <c r="H94" s="26"/>
    </row>
    <row r="95" spans="1:8">
      <c r="B95" s="216" t="s">
        <v>337</v>
      </c>
      <c r="C95" s="26"/>
      <c r="D95" s="26"/>
      <c r="E95" s="26"/>
      <c r="F95" s="215">
        <v>120.70699999999999</v>
      </c>
      <c r="G95" s="26"/>
      <c r="H95" s="26"/>
    </row>
    <row r="96" spans="1:8">
      <c r="B96" s="216" t="s">
        <v>338</v>
      </c>
      <c r="C96" s="26"/>
      <c r="D96" s="26"/>
      <c r="E96" s="26"/>
      <c r="F96" s="215">
        <v>3.0179999999999998</v>
      </c>
      <c r="G96" s="26"/>
      <c r="H96" s="26"/>
    </row>
    <row r="97" spans="2:8">
      <c r="B97" s="216" t="s">
        <v>339</v>
      </c>
      <c r="C97" s="26"/>
      <c r="D97" s="26"/>
      <c r="E97" s="26"/>
      <c r="F97" s="45">
        <v>459.01600000000002</v>
      </c>
      <c r="G97" s="26"/>
      <c r="H97" s="26"/>
    </row>
    <row r="98" spans="2:8">
      <c r="B98" s="216" t="s">
        <v>340</v>
      </c>
      <c r="C98" s="26"/>
      <c r="D98" s="26"/>
      <c r="E98" s="26"/>
      <c r="F98" s="198">
        <v>61.610999999999997</v>
      </c>
      <c r="G98" s="26"/>
      <c r="H98" s="26"/>
    </row>
    <row r="99" spans="2:8">
      <c r="B99" s="216"/>
      <c r="C99" s="26"/>
      <c r="D99" s="26"/>
      <c r="E99" s="26"/>
      <c r="F99" s="45">
        <f>SUM(F95:F98)</f>
        <v>644.35199999999998</v>
      </c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01" spans="2:8">
      <c r="B101" s="170" t="s">
        <v>342</v>
      </c>
      <c r="C101" s="26"/>
      <c r="D101" s="26"/>
      <c r="E101" s="26"/>
      <c r="F101" s="45">
        <v>8.67</v>
      </c>
      <c r="G101" s="26"/>
      <c r="H101" s="26"/>
    </row>
    <row r="102" spans="2:8">
      <c r="B102" s="26"/>
      <c r="C102" s="26"/>
      <c r="D102" s="26"/>
      <c r="E102" s="26"/>
      <c r="F102" s="26"/>
      <c r="G102" s="26"/>
      <c r="H102" s="26"/>
    </row>
    <row r="103" spans="2:8">
      <c r="B103" s="212" t="s">
        <v>343</v>
      </c>
      <c r="C103" s="26"/>
      <c r="D103" s="26"/>
      <c r="E103" s="26"/>
      <c r="F103" s="26">
        <v>6.141</v>
      </c>
      <c r="G103" s="26"/>
      <c r="H103" s="26"/>
    </row>
    <row r="104" spans="2:8">
      <c r="B104" s="26"/>
      <c r="C104" s="26"/>
      <c r="D104" s="26"/>
      <c r="E104" s="26"/>
      <c r="F104" s="26"/>
      <c r="G104" s="26"/>
      <c r="H104" s="26"/>
    </row>
    <row r="105" spans="2:8">
      <c r="B105" s="212" t="s">
        <v>344</v>
      </c>
      <c r="C105" s="26"/>
      <c r="D105" s="26"/>
      <c r="E105" s="26"/>
      <c r="F105" s="215">
        <f>F90+F92+F99+F101+F103</f>
        <v>1653.9589999999998</v>
      </c>
      <c r="G105" s="26"/>
      <c r="H105" s="26"/>
    </row>
    <row r="106" spans="2:8">
      <c r="B106" s="26"/>
      <c r="C106" s="26"/>
      <c r="D106" s="26"/>
      <c r="E106" s="26"/>
      <c r="F106" s="26"/>
      <c r="G106" s="26"/>
      <c r="H106" s="26"/>
    </row>
    <row r="107" spans="2:8">
      <c r="B107" s="26"/>
      <c r="C107" s="26"/>
      <c r="D107" s="26"/>
      <c r="E107" s="26"/>
      <c r="F107" s="26"/>
      <c r="G107" s="26"/>
      <c r="H107" s="26"/>
    </row>
    <row r="108" spans="2:8">
      <c r="B108" s="26"/>
      <c r="C108" s="26"/>
      <c r="D108" s="26"/>
      <c r="E108" s="26"/>
      <c r="F108" s="26"/>
      <c r="G108" s="26"/>
      <c r="H108" s="26"/>
    </row>
    <row r="109" spans="2:8">
      <c r="B109" s="26"/>
      <c r="C109" s="26"/>
      <c r="D109" s="26"/>
      <c r="E109" s="26"/>
      <c r="F109" s="26"/>
      <c r="G109" s="26"/>
      <c r="H109" s="26"/>
    </row>
  </sheetData>
  <mergeCells count="5">
    <mergeCell ref="A1:T1"/>
    <mergeCell ref="A2:T2"/>
    <mergeCell ref="A3:T3"/>
    <mergeCell ref="A4:T4"/>
    <mergeCell ref="A5:T5"/>
  </mergeCells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  <rowBreaks count="2" manualBreakCount="2">
    <brk id="47" max="19" man="1"/>
    <brk id="80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tabSelected="1" view="pageLayout" zoomScaleNormal="100" zoomScaleSheetLayoutView="100" workbookViewId="0">
      <selection activeCell="G9" sqref="G9"/>
    </sheetView>
  </sheetViews>
  <sheetFormatPr defaultRowHeight="12.75"/>
  <cols>
    <col min="1" max="1" width="1.85546875" customWidth="1"/>
    <col min="2" max="2" width="19.28515625" customWidth="1"/>
    <col min="3" max="3" width="2.140625" customWidth="1"/>
    <col min="4" max="4" width="35.42578125" customWidth="1"/>
    <col min="5" max="5" width="2.140625" customWidth="1"/>
    <col min="6" max="6" width="9.85546875" customWidth="1"/>
    <col min="7" max="7" width="2.140625" customWidth="1"/>
    <col min="8" max="8" width="12.7109375" customWidth="1"/>
    <col min="9" max="9" width="2.140625" customWidth="1"/>
    <col min="10" max="10" width="8.5703125" customWidth="1"/>
    <col min="11" max="11" width="2.28515625" customWidth="1"/>
    <col min="12" max="12" width="15.140625" customWidth="1"/>
    <col min="13" max="13" width="2.140625" customWidth="1"/>
    <col min="14" max="14" width="10.140625" customWidth="1"/>
    <col min="15" max="15" width="2.140625" customWidth="1"/>
    <col min="16" max="16" width="9.7109375" customWidth="1"/>
    <col min="17" max="17" width="2.140625" customWidth="1"/>
    <col min="18" max="18" width="12" customWidth="1"/>
    <col min="19" max="19" width="2.140625" customWidth="1"/>
    <col min="20" max="20" width="10.5703125" customWidth="1"/>
    <col min="21" max="21" width="2.140625" customWidth="1"/>
    <col min="22" max="22" width="12.7109375" customWidth="1"/>
  </cols>
  <sheetData>
    <row r="1" spans="1:25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</row>
    <row r="2" spans="1:25">
      <c r="A2" s="375" t="s">
        <v>469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</row>
    <row r="3" spans="1:25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</row>
    <row r="4" spans="1:25">
      <c r="A4" s="375" t="s">
        <v>373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</row>
    <row r="5" spans="1:25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</row>
    <row r="6" spans="1:25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</row>
    <row r="7" spans="1:25">
      <c r="A7" s="166" t="s">
        <v>473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 t="s">
        <v>481</v>
      </c>
      <c r="M7" s="176"/>
      <c r="N7" s="176" t="s">
        <v>481</v>
      </c>
      <c r="O7" s="176"/>
      <c r="P7" s="176"/>
      <c r="Q7" s="176"/>
      <c r="R7" s="176" t="s">
        <v>300</v>
      </c>
      <c r="S7" s="176"/>
      <c r="T7" s="176" t="s">
        <v>300</v>
      </c>
      <c r="U7" s="176"/>
      <c r="V7" s="176" t="s">
        <v>300</v>
      </c>
      <c r="W7" s="158"/>
      <c r="X7" s="158"/>
      <c r="Y7" s="158"/>
    </row>
    <row r="8" spans="1:25">
      <c r="A8" s="16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55" t="s">
        <v>479</v>
      </c>
      <c r="M8" s="176"/>
      <c r="N8" s="155" t="s">
        <v>479</v>
      </c>
      <c r="O8" s="176"/>
      <c r="P8" s="176" t="s">
        <v>300</v>
      </c>
      <c r="Q8" s="176"/>
      <c r="R8" s="155" t="s">
        <v>479</v>
      </c>
      <c r="S8" s="176"/>
      <c r="T8" s="155" t="s">
        <v>479</v>
      </c>
      <c r="U8" s="176"/>
      <c r="V8" s="176" t="s">
        <v>479</v>
      </c>
      <c r="W8" s="158"/>
      <c r="X8" s="158"/>
      <c r="Y8" s="158"/>
    </row>
    <row r="9" spans="1:25">
      <c r="A9" s="166"/>
      <c r="B9" s="176"/>
      <c r="C9" s="176"/>
      <c r="D9" s="176"/>
      <c r="E9" s="176"/>
      <c r="F9" s="176" t="s">
        <v>478</v>
      </c>
      <c r="G9" s="176"/>
      <c r="H9" s="176" t="s">
        <v>474</v>
      </c>
      <c r="I9" s="176"/>
      <c r="J9" s="176" t="s">
        <v>477</v>
      </c>
      <c r="K9" s="176"/>
      <c r="L9" s="155" t="s">
        <v>480</v>
      </c>
      <c r="M9" s="176"/>
      <c r="N9" s="155" t="s">
        <v>480</v>
      </c>
      <c r="O9" s="176"/>
      <c r="P9" s="176" t="s">
        <v>477</v>
      </c>
      <c r="Q9" s="176"/>
      <c r="R9" s="155" t="s">
        <v>480</v>
      </c>
      <c r="S9" s="176"/>
      <c r="T9" s="155" t="s">
        <v>480</v>
      </c>
      <c r="U9" s="176"/>
      <c r="V9" s="176" t="s">
        <v>480</v>
      </c>
      <c r="W9" s="158"/>
      <c r="X9" s="158"/>
      <c r="Y9" s="158"/>
    </row>
    <row r="10" spans="1:25">
      <c r="A10" s="176"/>
      <c r="B10" s="176"/>
      <c r="C10" s="176"/>
      <c r="D10" s="169" t="s">
        <v>483</v>
      </c>
      <c r="E10" s="176"/>
      <c r="F10" s="169" t="s">
        <v>5</v>
      </c>
      <c r="G10" s="176"/>
      <c r="H10" s="169" t="s">
        <v>475</v>
      </c>
      <c r="I10" s="176"/>
      <c r="J10" s="169" t="s">
        <v>311</v>
      </c>
      <c r="K10" s="158"/>
      <c r="L10" s="190" t="s">
        <v>475</v>
      </c>
      <c r="M10" s="158"/>
      <c r="N10" s="190" t="s">
        <v>24</v>
      </c>
      <c r="O10" s="158"/>
      <c r="P10" s="190" t="s">
        <v>311</v>
      </c>
      <c r="Q10" s="158"/>
      <c r="R10" s="190" t="s">
        <v>475</v>
      </c>
      <c r="S10" s="158"/>
      <c r="T10" s="190" t="s">
        <v>24</v>
      </c>
      <c r="U10" s="158"/>
      <c r="V10" s="169" t="s">
        <v>301</v>
      </c>
      <c r="W10" s="158"/>
      <c r="X10" s="158"/>
      <c r="Y10" s="158"/>
    </row>
    <row r="11" spans="1:25">
      <c r="A11" s="176"/>
      <c r="B11" s="166" t="s">
        <v>470</v>
      </c>
      <c r="C11" s="176"/>
      <c r="D11" s="166" t="s">
        <v>476</v>
      </c>
      <c r="E11" s="176"/>
      <c r="F11" s="276">
        <v>29.161926000000001</v>
      </c>
      <c r="G11" s="176"/>
      <c r="H11" s="276">
        <v>22.304165000000001</v>
      </c>
      <c r="I11" s="276"/>
      <c r="J11" s="275">
        <v>14.72</v>
      </c>
      <c r="K11" s="285"/>
      <c r="L11" s="285">
        <f>H11/J11</f>
        <v>1.5152286005434783</v>
      </c>
      <c r="M11" s="285"/>
      <c r="N11" s="286">
        <f>L11/F11</f>
        <v>5.1959140165964285E-2</v>
      </c>
      <c r="O11" s="285"/>
      <c r="P11" s="287">
        <f>J11</f>
        <v>14.72</v>
      </c>
      <c r="Q11" s="285"/>
      <c r="R11" s="285">
        <f>H11/P11</f>
        <v>1.5152286005434783</v>
      </c>
      <c r="S11" s="285"/>
      <c r="T11" s="286">
        <f>R11/F11</f>
        <v>5.1959140165964285E-2</v>
      </c>
      <c r="U11" s="285"/>
      <c r="V11" s="285">
        <f>R11-L11</f>
        <v>0</v>
      </c>
      <c r="W11" s="158"/>
      <c r="X11" s="158"/>
      <c r="Y11" s="158"/>
    </row>
    <row r="12" spans="1:25">
      <c r="A12" s="176"/>
      <c r="B12" s="166" t="s">
        <v>470</v>
      </c>
      <c r="C12" s="176"/>
      <c r="D12" s="166" t="s">
        <v>485</v>
      </c>
      <c r="E12" s="176"/>
      <c r="F12" s="279">
        <v>37.564239000000001</v>
      </c>
      <c r="G12" s="176"/>
      <c r="H12" s="279">
        <v>15.559710000000001</v>
      </c>
      <c r="I12" s="276"/>
      <c r="J12" s="280">
        <v>6.67</v>
      </c>
      <c r="K12" s="285"/>
      <c r="L12" s="288">
        <f>H12/J12</f>
        <v>2.3327901049475264</v>
      </c>
      <c r="M12" s="285"/>
      <c r="N12" s="286">
        <f>L12/F12</f>
        <v>6.2101354028429173E-2</v>
      </c>
      <c r="O12" s="285"/>
      <c r="P12" s="287">
        <f>J11</f>
        <v>14.72</v>
      </c>
      <c r="Q12" s="285"/>
      <c r="R12" s="288">
        <f>H12/P12</f>
        <v>1.0570455163043477</v>
      </c>
      <c r="S12" s="285"/>
      <c r="T12" s="289">
        <f>R12/F12</f>
        <v>2.8139676044131964E-2</v>
      </c>
      <c r="U12" s="285"/>
      <c r="V12" s="288">
        <f>R12-L12</f>
        <v>-1.2757445886431786</v>
      </c>
      <c r="W12" s="158"/>
      <c r="X12" s="158"/>
      <c r="Y12" s="158"/>
    </row>
    <row r="13" spans="1:25">
      <c r="A13" s="176"/>
      <c r="B13" s="166" t="s">
        <v>482</v>
      </c>
      <c r="C13" s="176"/>
      <c r="D13" s="176" t="s">
        <v>484</v>
      </c>
      <c r="E13" s="176"/>
      <c r="F13" s="276">
        <f>SUM(F11:F12)</f>
        <v>66.726165000000009</v>
      </c>
      <c r="G13" s="176"/>
      <c r="H13" s="276">
        <f>SUM(H11:H12)</f>
        <v>37.863875</v>
      </c>
      <c r="I13" s="276"/>
      <c r="J13" s="275"/>
      <c r="K13" s="285"/>
      <c r="L13" s="276">
        <f>SUM(L11:L12)</f>
        <v>3.8480187054910049</v>
      </c>
      <c r="M13" s="285"/>
      <c r="N13" s="276"/>
      <c r="O13" s="285"/>
      <c r="P13" s="290"/>
      <c r="Q13" s="285"/>
      <c r="R13" s="276">
        <f>SUM(R11:R12)</f>
        <v>2.5722741168478258</v>
      </c>
      <c r="S13" s="285"/>
      <c r="T13" s="286">
        <f>R13/F13</f>
        <v>3.8549707102870749E-2</v>
      </c>
      <c r="U13" s="285"/>
      <c r="V13" s="276">
        <f>SUM(V11:V12)</f>
        <v>-1.2757445886431786</v>
      </c>
      <c r="W13" s="158"/>
      <c r="X13" s="158"/>
      <c r="Y13" s="158"/>
    </row>
    <row r="14" spans="1:25">
      <c r="A14" s="176"/>
      <c r="B14" s="166"/>
      <c r="C14" s="176"/>
      <c r="D14" s="176"/>
      <c r="E14" s="176"/>
      <c r="F14" s="276"/>
      <c r="G14" s="176"/>
      <c r="H14" s="276"/>
      <c r="I14" s="276"/>
      <c r="J14" s="275"/>
      <c r="K14" s="285"/>
      <c r="L14" s="291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158"/>
      <c r="X14" s="158"/>
      <c r="Y14" s="158"/>
    </row>
    <row r="15" spans="1:25">
      <c r="A15" s="176"/>
      <c r="B15" s="166" t="s">
        <v>471</v>
      </c>
      <c r="C15" s="176"/>
      <c r="D15" s="166" t="s">
        <v>476</v>
      </c>
      <c r="E15" s="176"/>
      <c r="F15" s="276">
        <v>130.963584</v>
      </c>
      <c r="G15" s="176"/>
      <c r="H15" s="276">
        <v>78.193494000000001</v>
      </c>
      <c r="I15" s="276"/>
      <c r="J15" s="275">
        <v>14.36</v>
      </c>
      <c r="K15" s="285"/>
      <c r="L15" s="285">
        <f>H15/J15</f>
        <v>5.4452293871866297</v>
      </c>
      <c r="M15" s="285"/>
      <c r="N15" s="286">
        <f>L15/F15</f>
        <v>4.1578194646739584E-2</v>
      </c>
      <c r="O15" s="285"/>
      <c r="P15" s="287">
        <f>J15</f>
        <v>14.36</v>
      </c>
      <c r="Q15" s="285"/>
      <c r="R15" s="285">
        <f>H15/P15</f>
        <v>5.4452293871866297</v>
      </c>
      <c r="S15" s="285"/>
      <c r="T15" s="286">
        <f>R15/F15</f>
        <v>4.1578194646739584E-2</v>
      </c>
      <c r="U15" s="285"/>
      <c r="V15" s="285">
        <f>R15-L15</f>
        <v>0</v>
      </c>
      <c r="W15" s="158"/>
      <c r="X15" s="158"/>
      <c r="Y15" s="158"/>
    </row>
    <row r="16" spans="1:25">
      <c r="A16" s="176"/>
      <c r="B16" s="166" t="s">
        <v>471</v>
      </c>
      <c r="C16" s="176"/>
      <c r="D16" s="166" t="s">
        <v>485</v>
      </c>
      <c r="E16" s="176"/>
      <c r="F16" s="279">
        <v>54.498882999999999</v>
      </c>
      <c r="G16" s="176"/>
      <c r="H16" s="279">
        <v>31.225297999999999</v>
      </c>
      <c r="I16" s="276"/>
      <c r="J16" s="280">
        <v>6.41</v>
      </c>
      <c r="K16" s="285"/>
      <c r="L16" s="288">
        <f>H16/J16</f>
        <v>4.8713413416536655</v>
      </c>
      <c r="M16" s="285"/>
      <c r="N16" s="286">
        <f>L16/F16</f>
        <v>8.938424190553898E-2</v>
      </c>
      <c r="O16" s="285"/>
      <c r="P16" s="287">
        <f>J15</f>
        <v>14.36</v>
      </c>
      <c r="Q16" s="285"/>
      <c r="R16" s="288">
        <f>H16/P16</f>
        <v>2.1744636490250695</v>
      </c>
      <c r="S16" s="285"/>
      <c r="T16" s="289">
        <f>R16/F16</f>
        <v>3.9899233329700898E-2</v>
      </c>
      <c r="U16" s="285"/>
      <c r="V16" s="288">
        <f>R16-L16</f>
        <v>-2.696877692628596</v>
      </c>
      <c r="W16" s="158"/>
      <c r="X16" s="158"/>
      <c r="Y16" s="158"/>
    </row>
    <row r="17" spans="1:25">
      <c r="A17" s="176"/>
      <c r="B17" s="166" t="s">
        <v>482</v>
      </c>
      <c r="C17" s="176"/>
      <c r="D17" s="176" t="s">
        <v>484</v>
      </c>
      <c r="E17" s="176"/>
      <c r="F17" s="276">
        <f>SUM(F15:F16)</f>
        <v>185.462467</v>
      </c>
      <c r="G17" s="176"/>
      <c r="H17" s="276">
        <f>SUM(H15:H16)</f>
        <v>109.418792</v>
      </c>
      <c r="I17" s="276"/>
      <c r="J17" s="275"/>
      <c r="K17" s="285"/>
      <c r="L17" s="276">
        <f>SUM(L15:L16)</f>
        <v>10.316570728840295</v>
      </c>
      <c r="M17" s="285"/>
      <c r="N17" s="276"/>
      <c r="O17" s="285"/>
      <c r="P17" s="290"/>
      <c r="Q17" s="285"/>
      <c r="R17" s="276">
        <f>SUM(R15:R16)</f>
        <v>7.6196930362116992</v>
      </c>
      <c r="S17" s="285"/>
      <c r="T17" s="286">
        <f>R17/F17</f>
        <v>4.10848251911353E-2</v>
      </c>
      <c r="U17" s="285"/>
      <c r="V17" s="276">
        <f>SUM(V15:V16)</f>
        <v>-2.696877692628596</v>
      </c>
      <c r="W17" s="158"/>
      <c r="X17" s="158"/>
      <c r="Y17" s="158"/>
    </row>
    <row r="18" spans="1:25">
      <c r="A18" s="176"/>
      <c r="B18" s="166"/>
      <c r="C18" s="176"/>
      <c r="D18" s="176"/>
      <c r="E18" s="176"/>
      <c r="F18" s="176"/>
      <c r="G18" s="176"/>
      <c r="H18" s="276"/>
      <c r="I18" s="276"/>
      <c r="J18" s="276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158"/>
      <c r="X18" s="158"/>
      <c r="Y18" s="158"/>
    </row>
    <row r="19" spans="1:25">
      <c r="A19" s="176"/>
      <c r="B19" s="166" t="s">
        <v>472</v>
      </c>
      <c r="C19" s="176"/>
      <c r="D19" s="166" t="s">
        <v>476</v>
      </c>
      <c r="E19" s="176"/>
      <c r="F19" s="276">
        <v>130.296359</v>
      </c>
      <c r="G19" s="176"/>
      <c r="H19" s="276">
        <v>97.312657999999999</v>
      </c>
      <c r="I19" s="276"/>
      <c r="J19" s="275">
        <v>14.37</v>
      </c>
      <c r="K19" s="285"/>
      <c r="L19" s="285">
        <f>H19/J19</f>
        <v>6.7719316631871962</v>
      </c>
      <c r="M19" s="285"/>
      <c r="N19" s="286">
        <f>L19/F19</f>
        <v>5.1973299293706254E-2</v>
      </c>
      <c r="O19" s="285"/>
      <c r="P19" s="287">
        <f>J19</f>
        <v>14.37</v>
      </c>
      <c r="Q19" s="285"/>
      <c r="R19" s="285">
        <f>H19/P19</f>
        <v>6.7719316631871962</v>
      </c>
      <c r="S19" s="285"/>
      <c r="T19" s="286">
        <f>R19/F19</f>
        <v>5.1973299293706254E-2</v>
      </c>
      <c r="U19" s="285"/>
      <c r="V19" s="285">
        <f>R19-L19</f>
        <v>0</v>
      </c>
      <c r="W19" s="158"/>
      <c r="X19" s="158"/>
      <c r="Y19" s="158"/>
    </row>
    <row r="20" spans="1:25">
      <c r="A20" s="176"/>
      <c r="B20" s="166" t="s">
        <v>472</v>
      </c>
      <c r="C20" s="176"/>
      <c r="D20" s="166" t="s">
        <v>485</v>
      </c>
      <c r="E20" s="176"/>
      <c r="F20" s="279">
        <v>24.422478000000002</v>
      </c>
      <c r="G20" s="176"/>
      <c r="H20" s="279">
        <v>13.827699000000001</v>
      </c>
      <c r="I20" s="276"/>
      <c r="J20" s="280">
        <v>6.92</v>
      </c>
      <c r="K20" s="285"/>
      <c r="L20" s="288">
        <f>H20/J20</f>
        <v>1.9982223988439307</v>
      </c>
      <c r="M20" s="285"/>
      <c r="N20" s="286">
        <f>L20/F20</f>
        <v>8.1818986543623073E-2</v>
      </c>
      <c r="O20" s="285"/>
      <c r="P20" s="287">
        <f>J19</f>
        <v>14.37</v>
      </c>
      <c r="Q20" s="285"/>
      <c r="R20" s="288">
        <f>H20/P20</f>
        <v>0.96226158663883099</v>
      </c>
      <c r="S20" s="285"/>
      <c r="T20" s="289">
        <f>R20/F20</f>
        <v>3.9400653227687661E-2</v>
      </c>
      <c r="U20" s="285"/>
      <c r="V20" s="288">
        <f>R20-L20</f>
        <v>-1.0359608122050998</v>
      </c>
      <c r="W20" s="158"/>
      <c r="X20" s="158"/>
      <c r="Y20" s="158"/>
    </row>
    <row r="21" spans="1:25">
      <c r="A21" s="176"/>
      <c r="B21" s="166" t="s">
        <v>482</v>
      </c>
      <c r="C21" s="176"/>
      <c r="D21" s="176" t="s">
        <v>484</v>
      </c>
      <c r="E21" s="176"/>
      <c r="F21" s="276">
        <f>SUM(F19:F20)</f>
        <v>154.71883700000001</v>
      </c>
      <c r="G21" s="176"/>
      <c r="H21" s="276">
        <f>SUM(H19:H20)</f>
        <v>111.14035699999999</v>
      </c>
      <c r="I21" s="276"/>
      <c r="J21" s="275"/>
      <c r="K21" s="285"/>
      <c r="L21" s="276">
        <f>SUM(L19:L20)</f>
        <v>8.7701540620311267</v>
      </c>
      <c r="M21" s="285"/>
      <c r="N21" s="276"/>
      <c r="O21" s="285"/>
      <c r="P21" s="290"/>
      <c r="Q21" s="285"/>
      <c r="R21" s="276">
        <f>SUM(R19:R20)</f>
        <v>7.7341932498260269</v>
      </c>
      <c r="S21" s="285"/>
      <c r="T21" s="286">
        <f>R21/F21</f>
        <v>4.9988698207614028E-2</v>
      </c>
      <c r="U21" s="285"/>
      <c r="V21" s="276">
        <f>SUM(V19:V20)</f>
        <v>-1.0359608122050998</v>
      </c>
      <c r="W21" s="158"/>
      <c r="X21" s="158"/>
      <c r="Y21" s="158"/>
    </row>
    <row r="22" spans="1:25">
      <c r="A22" s="176"/>
      <c r="B22" s="176"/>
      <c r="C22" s="176"/>
      <c r="D22" s="176"/>
      <c r="E22" s="176"/>
      <c r="F22" s="176"/>
      <c r="G22" s="176"/>
      <c r="H22" s="276"/>
      <c r="I22" s="276"/>
      <c r="J22" s="276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158"/>
      <c r="X22" s="158"/>
      <c r="Y22" s="158"/>
    </row>
    <row r="23" spans="1:25">
      <c r="A23" s="176"/>
      <c r="B23" s="166" t="s">
        <v>488</v>
      </c>
      <c r="C23" s="176"/>
      <c r="D23" s="166" t="s">
        <v>476</v>
      </c>
      <c r="E23" s="176"/>
      <c r="F23" s="276">
        <v>3.9662350000000002</v>
      </c>
      <c r="G23" s="176"/>
      <c r="H23" s="276">
        <v>2.8780199999999998</v>
      </c>
      <c r="I23" s="276"/>
      <c r="J23" s="275">
        <v>23.12</v>
      </c>
      <c r="K23" s="285"/>
      <c r="L23" s="285">
        <f>H23/J23</f>
        <v>0.12448183391003459</v>
      </c>
      <c r="M23" s="285"/>
      <c r="N23" s="286">
        <f>L23/F23</f>
        <v>3.1385390404258591E-2</v>
      </c>
      <c r="O23" s="285"/>
      <c r="P23" s="287">
        <f>J23</f>
        <v>23.12</v>
      </c>
      <c r="Q23" s="285"/>
      <c r="R23" s="285">
        <f>H23/P23</f>
        <v>0.12448183391003459</v>
      </c>
      <c r="S23" s="285"/>
      <c r="T23" s="286">
        <f>R23/F23</f>
        <v>3.1385390404258591E-2</v>
      </c>
      <c r="U23" s="285"/>
      <c r="V23" s="285">
        <f>R23-L23</f>
        <v>0</v>
      </c>
      <c r="W23" s="158"/>
      <c r="X23" s="158"/>
      <c r="Y23" s="158"/>
    </row>
    <row r="24" spans="1:25">
      <c r="A24" s="176"/>
      <c r="B24" s="166" t="s">
        <v>488</v>
      </c>
      <c r="C24" s="176"/>
      <c r="D24" s="166" t="s">
        <v>485</v>
      </c>
      <c r="E24" s="176"/>
      <c r="F24" s="279">
        <v>0.441577</v>
      </c>
      <c r="G24" s="176"/>
      <c r="H24" s="279">
        <v>5.4322000000000002E-2</v>
      </c>
      <c r="I24" s="276"/>
      <c r="J24" s="280">
        <v>5.5</v>
      </c>
      <c r="K24" s="285"/>
      <c r="L24" s="288">
        <f>H24/J24</f>
        <v>9.8767272727272731E-3</v>
      </c>
      <c r="M24" s="285"/>
      <c r="N24" s="286">
        <f>L24/F24</f>
        <v>2.2366942283514026E-2</v>
      </c>
      <c r="O24" s="285"/>
      <c r="P24" s="287">
        <f>J23</f>
        <v>23.12</v>
      </c>
      <c r="Q24" s="285"/>
      <c r="R24" s="288">
        <f>H24/P24</f>
        <v>2.3495674740484427E-3</v>
      </c>
      <c r="S24" s="285"/>
      <c r="T24" s="289">
        <f>R24/F24</f>
        <v>5.3208556470297199E-3</v>
      </c>
      <c r="U24" s="285"/>
      <c r="V24" s="288">
        <f>R24-L24</f>
        <v>-7.5271597986788299E-3</v>
      </c>
      <c r="W24" s="158"/>
      <c r="X24" s="158"/>
      <c r="Y24" s="158"/>
    </row>
    <row r="25" spans="1:25">
      <c r="A25" s="176"/>
      <c r="B25" s="166" t="s">
        <v>482</v>
      </c>
      <c r="C25" s="176"/>
      <c r="D25" s="176" t="s">
        <v>484</v>
      </c>
      <c r="E25" s="176"/>
      <c r="F25" s="276">
        <f>SUM(F23:F24)</f>
        <v>4.4078119999999998</v>
      </c>
      <c r="G25" s="176"/>
      <c r="H25" s="276">
        <f>SUM(H23:H24)</f>
        <v>2.9323419999999998</v>
      </c>
      <c r="I25" s="276"/>
      <c r="J25" s="275"/>
      <c r="K25" s="285"/>
      <c r="L25" s="276">
        <f>SUM(L23:L24)</f>
        <v>0.13435856118276185</v>
      </c>
      <c r="M25" s="285"/>
      <c r="N25" s="276"/>
      <c r="O25" s="285"/>
      <c r="P25" s="290"/>
      <c r="Q25" s="285"/>
      <c r="R25" s="276">
        <f>SUM(R23:R24)</f>
        <v>0.12683140138408303</v>
      </c>
      <c r="S25" s="285"/>
      <c r="T25" s="286">
        <f>R25/F25</f>
        <v>2.8774231156883059E-2</v>
      </c>
      <c r="U25" s="285"/>
      <c r="V25" s="276">
        <f>SUM(V23:V24)</f>
        <v>-7.5271597986788299E-3</v>
      </c>
      <c r="W25" s="158"/>
      <c r="X25" s="158"/>
      <c r="Y25" s="158"/>
    </row>
    <row r="26" spans="1:25">
      <c r="A26" s="176"/>
      <c r="B26" s="166"/>
      <c r="C26" s="176"/>
      <c r="D26" s="176"/>
      <c r="E26" s="176"/>
      <c r="F26" s="276"/>
      <c r="G26" s="176"/>
      <c r="H26" s="276"/>
      <c r="I26" s="276"/>
      <c r="J26" s="275"/>
      <c r="K26" s="285"/>
      <c r="L26" s="291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158"/>
      <c r="X26" s="158"/>
      <c r="Y26" s="158"/>
    </row>
    <row r="27" spans="1:25">
      <c r="A27" s="176"/>
      <c r="B27" s="166" t="s">
        <v>489</v>
      </c>
      <c r="C27" s="176"/>
      <c r="D27" s="166" t="s">
        <v>476</v>
      </c>
      <c r="E27" s="176"/>
      <c r="F27" s="276">
        <v>408.86498599999999</v>
      </c>
      <c r="G27" s="176"/>
      <c r="H27" s="276">
        <v>331.80694699999998</v>
      </c>
      <c r="I27" s="276"/>
      <c r="J27" s="275">
        <v>22.81</v>
      </c>
      <c r="K27" s="285"/>
      <c r="L27" s="285">
        <f>H27/J27</f>
        <v>14.546556203419552</v>
      </c>
      <c r="M27" s="285"/>
      <c r="N27" s="286">
        <f>L27/F27</f>
        <v>3.5577896619935934E-2</v>
      </c>
      <c r="O27" s="285"/>
      <c r="P27" s="287">
        <f>J27</f>
        <v>22.81</v>
      </c>
      <c r="Q27" s="285"/>
      <c r="R27" s="285">
        <f>H27/P27</f>
        <v>14.546556203419552</v>
      </c>
      <c r="S27" s="285"/>
      <c r="T27" s="286">
        <f>R27/F27</f>
        <v>3.5577896619935934E-2</v>
      </c>
      <c r="U27" s="285"/>
      <c r="V27" s="285">
        <f>R27-L27</f>
        <v>0</v>
      </c>
      <c r="W27" s="158"/>
      <c r="X27" s="158"/>
      <c r="Y27" s="158"/>
    </row>
    <row r="28" spans="1:25">
      <c r="A28" s="176"/>
      <c r="B28" s="166" t="s">
        <v>489</v>
      </c>
      <c r="C28" s="176"/>
      <c r="D28" s="166" t="s">
        <v>485</v>
      </c>
      <c r="E28" s="176"/>
      <c r="F28" s="279">
        <v>296.49418300000002</v>
      </c>
      <c r="G28" s="176"/>
      <c r="H28" s="279">
        <v>147.83473799999999</v>
      </c>
      <c r="I28" s="276"/>
      <c r="J28" s="280">
        <v>6.72</v>
      </c>
      <c r="K28" s="285"/>
      <c r="L28" s="288">
        <f>H28/J28</f>
        <v>21.999216964285715</v>
      </c>
      <c r="M28" s="285"/>
      <c r="N28" s="286">
        <f>L28/F28</f>
        <v>7.4197802944031832E-2</v>
      </c>
      <c r="O28" s="285"/>
      <c r="P28" s="287">
        <f>J27</f>
        <v>22.81</v>
      </c>
      <c r="Q28" s="285"/>
      <c r="R28" s="288">
        <f>H28/P28</f>
        <v>6.4811371328364746</v>
      </c>
      <c r="S28" s="285"/>
      <c r="T28" s="289">
        <f>R28/F28</f>
        <v>2.1859238745457865E-2</v>
      </c>
      <c r="U28" s="285"/>
      <c r="V28" s="288">
        <f>R28-L28</f>
        <v>-15.51807983144924</v>
      </c>
      <c r="W28" s="158"/>
      <c r="X28" s="158"/>
      <c r="Y28" s="158"/>
    </row>
    <row r="29" spans="1:25">
      <c r="A29" s="176"/>
      <c r="B29" s="166" t="s">
        <v>482</v>
      </c>
      <c r="C29" s="176"/>
      <c r="D29" s="176" t="s">
        <v>484</v>
      </c>
      <c r="E29" s="176"/>
      <c r="F29" s="276">
        <f>SUM(F27:F28)</f>
        <v>705.35916900000007</v>
      </c>
      <c r="G29" s="176"/>
      <c r="H29" s="276">
        <f>SUM(H27:H28)</f>
        <v>479.64168499999994</v>
      </c>
      <c r="I29" s="276"/>
      <c r="J29" s="275"/>
      <c r="K29" s="285"/>
      <c r="L29" s="276">
        <f>SUM(L27:L28)</f>
        <v>36.545773167705264</v>
      </c>
      <c r="M29" s="285"/>
      <c r="N29" s="276"/>
      <c r="O29" s="285"/>
      <c r="P29" s="290"/>
      <c r="Q29" s="285"/>
      <c r="R29" s="276">
        <f>SUM(R27:R28)</f>
        <v>21.027693336256029</v>
      </c>
      <c r="S29" s="285"/>
      <c r="T29" s="286">
        <f>R29/F29</f>
        <v>2.981132770424939E-2</v>
      </c>
      <c r="U29" s="285"/>
      <c r="V29" s="276">
        <f>SUM(V27:V28)</f>
        <v>-15.51807983144924</v>
      </c>
      <c r="W29" s="158"/>
      <c r="X29" s="158"/>
      <c r="Y29" s="158"/>
    </row>
    <row r="30" spans="1:25">
      <c r="A30" s="176"/>
      <c r="B30" s="166"/>
      <c r="C30" s="176"/>
      <c r="D30" s="176"/>
      <c r="E30" s="176"/>
      <c r="F30" s="176"/>
      <c r="G30" s="176"/>
      <c r="H30" s="276"/>
      <c r="I30" s="276"/>
      <c r="J30" s="276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158"/>
      <c r="X30" s="158"/>
      <c r="Y30" s="158"/>
    </row>
    <row r="31" spans="1:25">
      <c r="A31" s="176"/>
      <c r="B31" s="166" t="s">
        <v>490</v>
      </c>
      <c r="C31" s="176"/>
      <c r="D31" s="166" t="s">
        <v>476</v>
      </c>
      <c r="E31" s="176"/>
      <c r="F31" s="276">
        <v>168.67457099999999</v>
      </c>
      <c r="G31" s="176"/>
      <c r="H31" s="276">
        <v>176.09166999999999</v>
      </c>
      <c r="I31" s="276"/>
      <c r="J31" s="275">
        <v>23.24</v>
      </c>
      <c r="K31" s="285"/>
      <c r="L31" s="285">
        <f>H31/J31</f>
        <v>7.5770942340791745</v>
      </c>
      <c r="M31" s="285"/>
      <c r="N31" s="286">
        <f>L31/F31</f>
        <v>4.4921378422116603E-2</v>
      </c>
      <c r="O31" s="285"/>
      <c r="P31" s="287">
        <f>J31</f>
        <v>23.24</v>
      </c>
      <c r="Q31" s="285"/>
      <c r="R31" s="285">
        <f>H31/P31</f>
        <v>7.5770942340791745</v>
      </c>
      <c r="S31" s="285"/>
      <c r="T31" s="286">
        <f>R31/F31</f>
        <v>4.4921378422116603E-2</v>
      </c>
      <c r="U31" s="285"/>
      <c r="V31" s="285">
        <f>R31-L31</f>
        <v>0</v>
      </c>
      <c r="W31" s="158"/>
      <c r="X31" s="158"/>
      <c r="Y31" s="158"/>
    </row>
    <row r="32" spans="1:25">
      <c r="A32" s="176"/>
      <c r="B32" s="166" t="s">
        <v>490</v>
      </c>
      <c r="C32" s="176"/>
      <c r="D32" s="166" t="s">
        <v>485</v>
      </c>
      <c r="E32" s="176"/>
      <c r="F32" s="279">
        <v>20.277149000000001</v>
      </c>
      <c r="G32" s="176"/>
      <c r="H32" s="279">
        <v>14.681927</v>
      </c>
      <c r="I32" s="276"/>
      <c r="J32" s="280">
        <v>19.16</v>
      </c>
      <c r="K32" s="285"/>
      <c r="L32" s="288">
        <f>H32/J32</f>
        <v>0.76628011482254699</v>
      </c>
      <c r="M32" s="285"/>
      <c r="N32" s="286">
        <f>L32/F32</f>
        <v>3.7790328158191618E-2</v>
      </c>
      <c r="O32" s="285"/>
      <c r="P32" s="287">
        <f>J31</f>
        <v>23.24</v>
      </c>
      <c r="Q32" s="285"/>
      <c r="R32" s="288">
        <f>H32/P32</f>
        <v>0.6317524526678141</v>
      </c>
      <c r="S32" s="285"/>
      <c r="T32" s="289">
        <f>R32/F32</f>
        <v>3.115588156243336E-2</v>
      </c>
      <c r="U32" s="285"/>
      <c r="V32" s="288">
        <f>R32-L32</f>
        <v>-0.13452766215473289</v>
      </c>
      <c r="W32" s="158"/>
      <c r="X32" s="158"/>
      <c r="Y32" s="158"/>
    </row>
    <row r="33" spans="1:25">
      <c r="A33" s="176"/>
      <c r="B33" s="166" t="s">
        <v>482</v>
      </c>
      <c r="C33" s="176"/>
      <c r="D33" s="176" t="s">
        <v>484</v>
      </c>
      <c r="E33" s="176"/>
      <c r="F33" s="276">
        <f>SUM(F31:F32)</f>
        <v>188.95171999999999</v>
      </c>
      <c r="G33" s="176"/>
      <c r="H33" s="276">
        <f>SUM(H31:H32)</f>
        <v>190.773597</v>
      </c>
      <c r="I33" s="276"/>
      <c r="J33" s="275"/>
      <c r="K33" s="285"/>
      <c r="L33" s="276">
        <f>SUM(L31:L32)</f>
        <v>8.3433743489017207</v>
      </c>
      <c r="M33" s="285"/>
      <c r="N33" s="276"/>
      <c r="O33" s="285"/>
      <c r="P33" s="290"/>
      <c r="Q33" s="285"/>
      <c r="R33" s="276">
        <f>SUM(R31:R32)</f>
        <v>8.2088466867469894</v>
      </c>
      <c r="S33" s="285"/>
      <c r="T33" s="286">
        <f>R33/F33</f>
        <v>4.3444149049010984E-2</v>
      </c>
      <c r="U33" s="285"/>
      <c r="V33" s="276">
        <f>SUM(V31:V32)</f>
        <v>-0.13452766215473289</v>
      </c>
      <c r="W33" s="158"/>
      <c r="X33" s="158"/>
      <c r="Y33" s="158"/>
    </row>
    <row r="34" spans="1:25">
      <c r="A34" s="176"/>
      <c r="B34" s="176"/>
      <c r="C34" s="176"/>
      <c r="D34" s="176"/>
      <c r="E34" s="176"/>
      <c r="F34" s="176"/>
      <c r="G34" s="176"/>
      <c r="H34" s="276"/>
      <c r="I34" s="276"/>
      <c r="J34" s="276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158"/>
      <c r="X34" s="158"/>
      <c r="Y34" s="158"/>
    </row>
    <row r="35" spans="1:25">
      <c r="A35" s="176"/>
      <c r="B35" s="166" t="s">
        <v>491</v>
      </c>
      <c r="C35" s="176"/>
      <c r="D35" s="166" t="s">
        <v>476</v>
      </c>
      <c r="E35" s="176"/>
      <c r="F35" s="276">
        <v>285.00985500000002</v>
      </c>
      <c r="G35" s="176"/>
      <c r="H35" s="276">
        <v>247.93287100000001</v>
      </c>
      <c r="I35" s="276"/>
      <c r="J35" s="275">
        <v>24.32</v>
      </c>
      <c r="K35" s="285"/>
      <c r="L35" s="285">
        <f>H35/J35</f>
        <v>10.194608182565789</v>
      </c>
      <c r="M35" s="285"/>
      <c r="N35" s="286">
        <f>L35/F35</f>
        <v>3.5769318161176525E-2</v>
      </c>
      <c r="O35" s="285"/>
      <c r="P35" s="287">
        <f>J35</f>
        <v>24.32</v>
      </c>
      <c r="Q35" s="285"/>
      <c r="R35" s="285">
        <f>H35/P35</f>
        <v>10.194608182565789</v>
      </c>
      <c r="S35" s="285"/>
      <c r="T35" s="286">
        <f>R35/F35</f>
        <v>3.5769318161176525E-2</v>
      </c>
      <c r="U35" s="285"/>
      <c r="V35" s="285">
        <f>R35-L35</f>
        <v>0</v>
      </c>
      <c r="W35" s="158"/>
      <c r="X35" s="158"/>
      <c r="Y35" s="158"/>
    </row>
    <row r="36" spans="1:25">
      <c r="A36" s="176"/>
      <c r="B36" s="166" t="s">
        <v>491</v>
      </c>
      <c r="C36" s="176"/>
      <c r="D36" s="166" t="s">
        <v>485</v>
      </c>
      <c r="E36" s="176"/>
      <c r="F36" s="279">
        <v>189.328023</v>
      </c>
      <c r="G36" s="176"/>
      <c r="H36" s="279">
        <v>105.091172</v>
      </c>
      <c r="I36" s="276"/>
      <c r="J36" s="280">
        <v>7.04</v>
      </c>
      <c r="K36" s="285"/>
      <c r="L36" s="288">
        <f>H36/J36</f>
        <v>14.927723295454545</v>
      </c>
      <c r="M36" s="285"/>
      <c r="N36" s="286">
        <f>L36/F36</f>
        <v>7.8845820385789078E-2</v>
      </c>
      <c r="O36" s="285"/>
      <c r="P36" s="287">
        <f>J35</f>
        <v>24.32</v>
      </c>
      <c r="Q36" s="285"/>
      <c r="R36" s="288">
        <f>H36/P36</f>
        <v>4.3211830592105267</v>
      </c>
      <c r="S36" s="285"/>
      <c r="T36" s="289">
        <f>R36/F36</f>
        <v>2.282379011167579E-2</v>
      </c>
      <c r="U36" s="285"/>
      <c r="V36" s="288">
        <f>R36-L36</f>
        <v>-10.606540236244019</v>
      </c>
      <c r="W36" s="158"/>
      <c r="X36" s="158"/>
      <c r="Y36" s="158"/>
    </row>
    <row r="37" spans="1:25">
      <c r="A37" s="176"/>
      <c r="B37" s="166" t="s">
        <v>482</v>
      </c>
      <c r="C37" s="176"/>
      <c r="D37" s="176" t="s">
        <v>484</v>
      </c>
      <c r="E37" s="176"/>
      <c r="F37" s="276">
        <f>SUM(F35:F36)</f>
        <v>474.33787800000005</v>
      </c>
      <c r="G37" s="176"/>
      <c r="H37" s="276">
        <f>SUM(H35:H36)</f>
        <v>353.02404300000001</v>
      </c>
      <c r="I37" s="276"/>
      <c r="J37" s="275"/>
      <c r="K37" s="285"/>
      <c r="L37" s="276">
        <f>SUM(L35:L36)</f>
        <v>25.122331478020335</v>
      </c>
      <c r="M37" s="285"/>
      <c r="N37" s="276"/>
      <c r="O37" s="285"/>
      <c r="P37" s="290"/>
      <c r="Q37" s="285"/>
      <c r="R37" s="276">
        <f>SUM(R35:R36)</f>
        <v>14.515791241776316</v>
      </c>
      <c r="S37" s="285"/>
      <c r="T37" s="286">
        <f>R37/F37</f>
        <v>3.0602218197249502E-2</v>
      </c>
      <c r="U37" s="285"/>
      <c r="V37" s="276">
        <f>SUM(V35:V36)</f>
        <v>-10.606540236244019</v>
      </c>
      <c r="W37" s="158"/>
      <c r="X37" s="158"/>
      <c r="Y37" s="158"/>
    </row>
    <row r="38" spans="1:25">
      <c r="A38" s="176"/>
      <c r="B38" s="166"/>
      <c r="C38" s="176"/>
      <c r="D38" s="176"/>
      <c r="E38" s="176"/>
      <c r="F38" s="276"/>
      <c r="G38" s="176"/>
      <c r="H38" s="276"/>
      <c r="I38" s="276"/>
      <c r="J38" s="275"/>
      <c r="K38" s="285"/>
      <c r="L38" s="291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158"/>
      <c r="X38" s="158"/>
      <c r="Y38" s="158"/>
    </row>
    <row r="39" spans="1:25">
      <c r="A39" s="176"/>
      <c r="B39" s="166" t="s">
        <v>492</v>
      </c>
      <c r="C39" s="176"/>
      <c r="D39" s="166" t="s">
        <v>476</v>
      </c>
      <c r="E39" s="176"/>
      <c r="F39" s="276">
        <v>23.358058</v>
      </c>
      <c r="G39" s="176"/>
      <c r="H39" s="276">
        <v>9.137613</v>
      </c>
      <c r="I39" s="276"/>
      <c r="J39" s="275">
        <v>15.31</v>
      </c>
      <c r="K39" s="285"/>
      <c r="L39" s="285">
        <f>H39/J39</f>
        <v>0.5968395166557805</v>
      </c>
      <c r="M39" s="285"/>
      <c r="N39" s="286">
        <f>L39/F39</f>
        <v>2.5551761052043816E-2</v>
      </c>
      <c r="O39" s="285"/>
      <c r="P39" s="287">
        <f>J39</f>
        <v>15.31</v>
      </c>
      <c r="Q39" s="285"/>
      <c r="R39" s="285">
        <f>H39/P39</f>
        <v>0.5968395166557805</v>
      </c>
      <c r="S39" s="285"/>
      <c r="T39" s="286">
        <f>R39/F39</f>
        <v>2.5551761052043816E-2</v>
      </c>
      <c r="U39" s="285"/>
      <c r="V39" s="285">
        <f>R39-L39</f>
        <v>0</v>
      </c>
      <c r="W39" s="158"/>
      <c r="X39" s="158"/>
      <c r="Y39" s="158"/>
    </row>
    <row r="40" spans="1:25">
      <c r="A40" s="176"/>
      <c r="B40" s="166" t="s">
        <v>492</v>
      </c>
      <c r="C40" s="176"/>
      <c r="D40" s="166" t="s">
        <v>485</v>
      </c>
      <c r="E40" s="176"/>
      <c r="F40" s="279">
        <v>2.2304219999999999</v>
      </c>
      <c r="G40" s="176"/>
      <c r="H40" s="279">
        <v>0.60936800000000002</v>
      </c>
      <c r="I40" s="276"/>
      <c r="J40" s="280">
        <v>5.67</v>
      </c>
      <c r="K40" s="285"/>
      <c r="L40" s="288">
        <f>H40/J40</f>
        <v>0.10747231040564374</v>
      </c>
      <c r="M40" s="285"/>
      <c r="N40" s="286">
        <f>L40/F40</f>
        <v>4.8184742800081663E-2</v>
      </c>
      <c r="O40" s="285"/>
      <c r="P40" s="287">
        <f>J39</f>
        <v>15.31</v>
      </c>
      <c r="Q40" s="285"/>
      <c r="R40" s="288">
        <f>H40/P40</f>
        <v>3.9801959503592423E-2</v>
      </c>
      <c r="S40" s="285"/>
      <c r="T40" s="289">
        <f>R40/F40</f>
        <v>1.7845035380565841E-2</v>
      </c>
      <c r="U40" s="285"/>
      <c r="V40" s="288">
        <f>R40-L40</f>
        <v>-6.7670350902051313E-2</v>
      </c>
      <c r="W40" s="158"/>
      <c r="X40" s="158"/>
      <c r="Y40" s="158"/>
    </row>
    <row r="41" spans="1:25">
      <c r="A41" s="176"/>
      <c r="B41" s="166" t="s">
        <v>482</v>
      </c>
      <c r="C41" s="176"/>
      <c r="D41" s="176" t="s">
        <v>484</v>
      </c>
      <c r="E41" s="176"/>
      <c r="F41" s="276">
        <f>SUM(F39:F40)</f>
        <v>25.588480000000001</v>
      </c>
      <c r="G41" s="176"/>
      <c r="H41" s="276">
        <f>SUM(H39:H40)</f>
        <v>9.7469809999999999</v>
      </c>
      <c r="I41" s="276"/>
      <c r="J41" s="275"/>
      <c r="K41" s="285"/>
      <c r="L41" s="276">
        <f>SUM(L39:L40)</f>
        <v>0.70431182706142426</v>
      </c>
      <c r="M41" s="285"/>
      <c r="N41" s="276"/>
      <c r="O41" s="285"/>
      <c r="P41" s="290"/>
      <c r="Q41" s="285"/>
      <c r="R41" s="276">
        <f>SUM(R39:R40)</f>
        <v>0.63664147615937294</v>
      </c>
      <c r="S41" s="285"/>
      <c r="T41" s="286">
        <f>R41/F41</f>
        <v>2.4880003664124361E-2</v>
      </c>
      <c r="U41" s="285"/>
      <c r="V41" s="276">
        <f>SUM(V39:V40)</f>
        <v>-6.7670350902051313E-2</v>
      </c>
      <c r="W41" s="158"/>
      <c r="X41" s="158"/>
      <c r="Y41" s="158"/>
    </row>
    <row r="42" spans="1:25">
      <c r="A42" s="176"/>
      <c r="B42" s="166"/>
      <c r="C42" s="176"/>
      <c r="D42" s="176"/>
      <c r="E42" s="176"/>
      <c r="F42" s="176"/>
      <c r="G42" s="176"/>
      <c r="H42" s="276"/>
      <c r="I42" s="276"/>
      <c r="J42" s="276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158"/>
      <c r="X42" s="158"/>
      <c r="Y42" s="158"/>
    </row>
    <row r="43" spans="1:25">
      <c r="A43" s="176"/>
      <c r="B43" s="166" t="s">
        <v>493</v>
      </c>
      <c r="C43" s="176"/>
      <c r="D43" s="166" t="s">
        <v>476</v>
      </c>
      <c r="E43" s="176"/>
      <c r="F43" s="276">
        <v>163.05640600000001</v>
      </c>
      <c r="G43" s="176"/>
      <c r="H43" s="276">
        <v>125.237796</v>
      </c>
      <c r="I43" s="276"/>
      <c r="J43" s="275">
        <v>15.28</v>
      </c>
      <c r="K43" s="285"/>
      <c r="L43" s="285">
        <f>H43/J43</f>
        <v>8.1961908376963351</v>
      </c>
      <c r="M43" s="285"/>
      <c r="N43" s="286">
        <f>L43/F43</f>
        <v>5.0265984874561347E-2</v>
      </c>
      <c r="O43" s="285"/>
      <c r="P43" s="287">
        <f>J43</f>
        <v>15.28</v>
      </c>
      <c r="Q43" s="285"/>
      <c r="R43" s="285">
        <f>H43/P43</f>
        <v>8.1961908376963351</v>
      </c>
      <c r="S43" s="285"/>
      <c r="T43" s="286">
        <f>R43/F43</f>
        <v>5.0265984874561347E-2</v>
      </c>
      <c r="U43" s="285"/>
      <c r="V43" s="285">
        <f>R43-L43</f>
        <v>0</v>
      </c>
      <c r="W43" s="158"/>
      <c r="X43" s="158"/>
      <c r="Y43" s="158"/>
    </row>
    <row r="44" spans="1:25">
      <c r="A44" s="176"/>
      <c r="B44" s="166" t="s">
        <v>493</v>
      </c>
      <c r="C44" s="176"/>
      <c r="D44" s="166" t="s">
        <v>485</v>
      </c>
      <c r="E44" s="176"/>
      <c r="F44" s="279">
        <v>62.930033999999999</v>
      </c>
      <c r="G44" s="176"/>
      <c r="H44" s="279">
        <v>36.546396000000001</v>
      </c>
      <c r="I44" s="276"/>
      <c r="J44" s="280">
        <v>7.31</v>
      </c>
      <c r="K44" s="285"/>
      <c r="L44" s="288">
        <f>H44/J44</f>
        <v>4.9995069767441862</v>
      </c>
      <c r="M44" s="285"/>
      <c r="N44" s="286">
        <f>L44/F44</f>
        <v>7.9445483483199547E-2</v>
      </c>
      <c r="O44" s="285"/>
      <c r="P44" s="287">
        <f>J43</f>
        <v>15.28</v>
      </c>
      <c r="Q44" s="285"/>
      <c r="R44" s="288">
        <f>H44/P44</f>
        <v>2.3917798429319372</v>
      </c>
      <c r="S44" s="285"/>
      <c r="T44" s="289">
        <f>R44/F44</f>
        <v>3.8006968865326486E-2</v>
      </c>
      <c r="U44" s="285"/>
      <c r="V44" s="288">
        <f>R44-L44</f>
        <v>-2.607727133812249</v>
      </c>
      <c r="W44" s="158"/>
      <c r="X44" s="158"/>
      <c r="Y44" s="158"/>
    </row>
    <row r="45" spans="1:25">
      <c r="A45" s="176"/>
      <c r="B45" s="166" t="s">
        <v>482</v>
      </c>
      <c r="C45" s="176"/>
      <c r="D45" s="176" t="s">
        <v>484</v>
      </c>
      <c r="E45" s="176"/>
      <c r="F45" s="276">
        <f>SUM(F43:F44)</f>
        <v>225.98644000000002</v>
      </c>
      <c r="G45" s="176"/>
      <c r="H45" s="276">
        <f>SUM(H43:H44)</f>
        <v>161.78419200000002</v>
      </c>
      <c r="I45" s="276"/>
      <c r="J45" s="275"/>
      <c r="K45" s="285"/>
      <c r="L45" s="276">
        <f>SUM(L43:L44)</f>
        <v>13.195697814440521</v>
      </c>
      <c r="M45" s="285"/>
      <c r="N45" s="276"/>
      <c r="O45" s="285"/>
      <c r="P45" s="290"/>
      <c r="Q45" s="285"/>
      <c r="R45" s="276">
        <f>SUM(R43:R44)</f>
        <v>10.587970680628272</v>
      </c>
      <c r="S45" s="285"/>
      <c r="T45" s="286">
        <f>R45/F45</f>
        <v>4.6852238924726064E-2</v>
      </c>
      <c r="U45" s="285"/>
      <c r="V45" s="276">
        <f>SUM(V43:V44)</f>
        <v>-2.607727133812249</v>
      </c>
      <c r="W45" s="158"/>
      <c r="X45" s="158"/>
      <c r="Y45" s="158"/>
    </row>
    <row r="46" spans="1:25">
      <c r="A46" s="176"/>
      <c r="B46" s="176"/>
      <c r="C46" s="176"/>
      <c r="D46" s="176"/>
      <c r="E46" s="176"/>
      <c r="F46" s="176"/>
      <c r="G46" s="176"/>
      <c r="H46" s="276"/>
      <c r="I46" s="276"/>
      <c r="J46" s="276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158"/>
      <c r="X46" s="158"/>
      <c r="Y46" s="158"/>
    </row>
    <row r="47" spans="1:25">
      <c r="A47" s="176"/>
      <c r="B47" s="166" t="s">
        <v>494</v>
      </c>
      <c r="C47" s="176"/>
      <c r="D47" s="166" t="s">
        <v>476</v>
      </c>
      <c r="E47" s="176"/>
      <c r="F47" s="276">
        <v>169.519058</v>
      </c>
      <c r="G47" s="176"/>
      <c r="H47" s="276">
        <v>110.042726</v>
      </c>
      <c r="I47" s="276"/>
      <c r="J47" s="275">
        <v>15.33</v>
      </c>
      <c r="K47" s="285"/>
      <c r="L47" s="285">
        <f>H47/J47</f>
        <v>7.1782600130463141</v>
      </c>
      <c r="M47" s="285"/>
      <c r="N47" s="286">
        <f>L47/F47</f>
        <v>4.234485548548951E-2</v>
      </c>
      <c r="O47" s="285"/>
      <c r="P47" s="287">
        <f>J47</f>
        <v>15.33</v>
      </c>
      <c r="Q47" s="285"/>
      <c r="R47" s="285">
        <f>H47/P47</f>
        <v>7.1782600130463141</v>
      </c>
      <c r="S47" s="285"/>
      <c r="T47" s="286">
        <f>R47/F47</f>
        <v>4.234485548548951E-2</v>
      </c>
      <c r="U47" s="285"/>
      <c r="V47" s="285">
        <f>R47-L47</f>
        <v>0</v>
      </c>
      <c r="W47" s="158"/>
      <c r="X47" s="158"/>
      <c r="Y47" s="158"/>
    </row>
    <row r="48" spans="1:25">
      <c r="A48" s="176"/>
      <c r="B48" s="166" t="s">
        <v>494</v>
      </c>
      <c r="C48" s="176"/>
      <c r="D48" s="166" t="s">
        <v>485</v>
      </c>
      <c r="E48" s="176"/>
      <c r="F48" s="279">
        <v>95.841804999999994</v>
      </c>
      <c r="G48" s="176"/>
      <c r="H48" s="279">
        <v>48.860942999999999</v>
      </c>
      <c r="I48" s="276"/>
      <c r="J48" s="280">
        <v>6.88</v>
      </c>
      <c r="K48" s="285"/>
      <c r="L48" s="288">
        <f>H48/J48</f>
        <v>7.1018812499999999</v>
      </c>
      <c r="M48" s="285"/>
      <c r="N48" s="286">
        <f>L48/F48</f>
        <v>7.4100036513293971E-2</v>
      </c>
      <c r="O48" s="285"/>
      <c r="P48" s="287">
        <f>J47</f>
        <v>15.33</v>
      </c>
      <c r="Q48" s="285"/>
      <c r="R48" s="288">
        <f>H48/P48</f>
        <v>3.1872761252446185</v>
      </c>
      <c r="S48" s="285"/>
      <c r="T48" s="289">
        <f>R48/F48</f>
        <v>3.325559368633154E-2</v>
      </c>
      <c r="U48" s="285"/>
      <c r="V48" s="288">
        <f>R48-L48</f>
        <v>-3.9146051247553815</v>
      </c>
      <c r="W48" s="158"/>
      <c r="X48" s="158"/>
      <c r="Y48" s="158"/>
    </row>
    <row r="49" spans="1:25">
      <c r="A49" s="176"/>
      <c r="B49" s="166" t="s">
        <v>482</v>
      </c>
      <c r="C49" s="176"/>
      <c r="D49" s="176" t="s">
        <v>484</v>
      </c>
      <c r="E49" s="176"/>
      <c r="F49" s="276">
        <f>SUM(F47:F48)</f>
        <v>265.36086299999999</v>
      </c>
      <c r="G49" s="176"/>
      <c r="H49" s="276">
        <f>SUM(H47:H48)</f>
        <v>158.90366900000001</v>
      </c>
      <c r="I49" s="276"/>
      <c r="J49" s="275"/>
      <c r="K49" s="285"/>
      <c r="L49" s="276">
        <f>SUM(L47:L48)</f>
        <v>14.280141263046314</v>
      </c>
      <c r="M49" s="285"/>
      <c r="N49" s="276"/>
      <c r="O49" s="285"/>
      <c r="P49" s="290"/>
      <c r="Q49" s="285"/>
      <c r="R49" s="276">
        <f>SUM(R47:R48)</f>
        <v>10.365536138290933</v>
      </c>
      <c r="S49" s="285"/>
      <c r="T49" s="286">
        <f>R49/F49</f>
        <v>3.9062038090714728E-2</v>
      </c>
      <c r="U49" s="285"/>
      <c r="V49" s="276">
        <f>SUM(V47:V48)</f>
        <v>-3.9146051247553815</v>
      </c>
      <c r="W49" s="158"/>
      <c r="X49" s="158"/>
      <c r="Y49" s="158"/>
    </row>
    <row r="50" spans="1:25">
      <c r="A50" s="176"/>
      <c r="B50" s="166"/>
      <c r="C50" s="176"/>
      <c r="D50" s="176"/>
      <c r="E50" s="176"/>
      <c r="F50" s="276"/>
      <c r="G50" s="176"/>
      <c r="H50" s="276"/>
      <c r="I50" s="276"/>
      <c r="J50" s="275"/>
      <c r="K50" s="285"/>
      <c r="L50" s="291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158"/>
      <c r="X50" s="158"/>
      <c r="Y50" s="158"/>
    </row>
    <row r="51" spans="1:25">
      <c r="A51" s="176"/>
      <c r="B51" s="166" t="s">
        <v>495</v>
      </c>
      <c r="C51" s="176"/>
      <c r="D51" s="166" t="s">
        <v>476</v>
      </c>
      <c r="E51" s="176"/>
      <c r="F51" s="276">
        <v>308.99424599999998</v>
      </c>
      <c r="G51" s="176"/>
      <c r="H51" s="276">
        <v>272.27610099999998</v>
      </c>
      <c r="I51" s="276"/>
      <c r="J51" s="275">
        <v>24.36</v>
      </c>
      <c r="K51" s="285"/>
      <c r="L51" s="285">
        <f>H51/J51</f>
        <v>11.177179844006568</v>
      </c>
      <c r="M51" s="285"/>
      <c r="N51" s="286">
        <f>L51/F51</f>
        <v>3.6172776641305381E-2</v>
      </c>
      <c r="O51" s="285"/>
      <c r="P51" s="287">
        <f>J51</f>
        <v>24.36</v>
      </c>
      <c r="Q51" s="285"/>
      <c r="R51" s="285">
        <f>H51/P51</f>
        <v>11.177179844006568</v>
      </c>
      <c r="S51" s="285"/>
      <c r="T51" s="286">
        <f>R51/F51</f>
        <v>3.6172776641305381E-2</v>
      </c>
      <c r="U51" s="285"/>
      <c r="V51" s="285">
        <f>R51-L51</f>
        <v>0</v>
      </c>
      <c r="W51" s="158"/>
      <c r="X51" s="158"/>
      <c r="Y51" s="158"/>
    </row>
    <row r="52" spans="1:25">
      <c r="A52" s="176"/>
      <c r="B52" s="166" t="s">
        <v>495</v>
      </c>
      <c r="C52" s="176"/>
      <c r="D52" s="166" t="s">
        <v>485</v>
      </c>
      <c r="E52" s="176"/>
      <c r="F52" s="279">
        <v>222.61026100000001</v>
      </c>
      <c r="G52" s="176"/>
      <c r="H52" s="279">
        <v>123.113287</v>
      </c>
      <c r="I52" s="276"/>
      <c r="J52" s="280">
        <v>6.93</v>
      </c>
      <c r="K52" s="285"/>
      <c r="L52" s="288">
        <f>H52/J52</f>
        <v>17.765265079365079</v>
      </c>
      <c r="M52" s="285"/>
      <c r="N52" s="286">
        <f>L52/F52</f>
        <v>7.9804340552680444E-2</v>
      </c>
      <c r="O52" s="285"/>
      <c r="P52" s="287">
        <f>J51</f>
        <v>24.36</v>
      </c>
      <c r="Q52" s="285"/>
      <c r="R52" s="288">
        <f>H52/P52</f>
        <v>5.0539116174055829</v>
      </c>
      <c r="S52" s="285"/>
      <c r="T52" s="289">
        <f>R52/F52</f>
        <v>2.2702958950331507E-2</v>
      </c>
      <c r="U52" s="285"/>
      <c r="V52" s="288">
        <f>R52-L52</f>
        <v>-12.711353461959497</v>
      </c>
      <c r="W52" s="158"/>
      <c r="X52" s="158"/>
      <c r="Y52" s="158"/>
    </row>
    <row r="53" spans="1:25">
      <c r="A53" s="176"/>
      <c r="B53" s="166" t="s">
        <v>482</v>
      </c>
      <c r="C53" s="176"/>
      <c r="D53" s="176" t="s">
        <v>484</v>
      </c>
      <c r="E53" s="176"/>
      <c r="F53" s="276">
        <f>SUM(F51:F52)</f>
        <v>531.60450700000001</v>
      </c>
      <c r="G53" s="176"/>
      <c r="H53" s="276">
        <f>SUM(H51:H52)</f>
        <v>395.389388</v>
      </c>
      <c r="I53" s="276"/>
      <c r="J53" s="275"/>
      <c r="K53" s="285"/>
      <c r="L53" s="276">
        <f>SUM(L51:L52)</f>
        <v>28.942444923371646</v>
      </c>
      <c r="M53" s="285"/>
      <c r="N53" s="276"/>
      <c r="O53" s="285"/>
      <c r="P53" s="290"/>
      <c r="Q53" s="285"/>
      <c r="R53" s="276">
        <f>SUM(R51:R52)</f>
        <v>16.231091461412152</v>
      </c>
      <c r="S53" s="285"/>
      <c r="T53" s="286">
        <f>R53/F53</f>
        <v>3.0532268345520541E-2</v>
      </c>
      <c r="U53" s="285"/>
      <c r="V53" s="276">
        <f>SUM(V51:V52)</f>
        <v>-12.711353461959497</v>
      </c>
      <c r="W53" s="158"/>
      <c r="X53" s="158"/>
      <c r="Y53" s="158"/>
    </row>
    <row r="54" spans="1:25">
      <c r="A54" s="176"/>
      <c r="B54" s="166"/>
      <c r="C54" s="176"/>
      <c r="D54" s="176"/>
      <c r="E54" s="176"/>
      <c r="F54" s="276"/>
      <c r="G54" s="176"/>
      <c r="H54" s="276"/>
      <c r="I54" s="276"/>
      <c r="J54" s="275"/>
      <c r="K54" s="285"/>
      <c r="L54" s="291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158"/>
      <c r="X54" s="158"/>
      <c r="Y54" s="158"/>
    </row>
    <row r="55" spans="1:25">
      <c r="A55" s="176"/>
      <c r="B55" s="166" t="s">
        <v>496</v>
      </c>
      <c r="C55" s="176"/>
      <c r="D55" s="166" t="s">
        <v>476</v>
      </c>
      <c r="E55" s="176"/>
      <c r="F55" s="276">
        <v>215.83548999999999</v>
      </c>
      <c r="G55" s="176"/>
      <c r="H55" s="276">
        <v>189.89054899999999</v>
      </c>
      <c r="I55" s="276"/>
      <c r="J55" s="275">
        <v>22.65</v>
      </c>
      <c r="K55" s="285"/>
      <c r="L55" s="285">
        <f>H55/J55</f>
        <v>8.3836886975717437</v>
      </c>
      <c r="M55" s="285"/>
      <c r="N55" s="286">
        <f>L55/F55</f>
        <v>3.8842957187308465E-2</v>
      </c>
      <c r="O55" s="285"/>
      <c r="P55" s="287">
        <f>J55</f>
        <v>22.65</v>
      </c>
      <c r="Q55" s="285"/>
      <c r="R55" s="285">
        <f>H55/P55</f>
        <v>8.3836886975717437</v>
      </c>
      <c r="S55" s="285"/>
      <c r="T55" s="286">
        <f>R55/F55</f>
        <v>3.8842957187308465E-2</v>
      </c>
      <c r="U55" s="285"/>
      <c r="V55" s="285">
        <f>R55-L55</f>
        <v>0</v>
      </c>
      <c r="W55" s="158"/>
      <c r="X55" s="158"/>
      <c r="Y55" s="158"/>
    </row>
    <row r="56" spans="1:25">
      <c r="A56" s="176"/>
      <c r="B56" s="166" t="s">
        <v>496</v>
      </c>
      <c r="C56" s="176"/>
      <c r="D56" s="166" t="s">
        <v>485</v>
      </c>
      <c r="E56" s="176"/>
      <c r="F56" s="279">
        <v>183.294116</v>
      </c>
      <c r="G56" s="176"/>
      <c r="H56" s="279">
        <v>105.401487</v>
      </c>
      <c r="I56" s="276"/>
      <c r="J56" s="280">
        <v>7.08</v>
      </c>
      <c r="K56" s="285"/>
      <c r="L56" s="288">
        <f>H56/J56</f>
        <v>14.887215677966102</v>
      </c>
      <c r="M56" s="285"/>
      <c r="N56" s="286">
        <f>L56/F56</f>
        <v>8.1220368677661761E-2</v>
      </c>
      <c r="O56" s="285"/>
      <c r="P56" s="287">
        <f>J55</f>
        <v>22.65</v>
      </c>
      <c r="Q56" s="285"/>
      <c r="R56" s="288">
        <f>H56/P56</f>
        <v>4.6534872847682127</v>
      </c>
      <c r="S56" s="285"/>
      <c r="T56" s="289">
        <f>R56/F56</f>
        <v>2.5388088752222752E-2</v>
      </c>
      <c r="U56" s="285"/>
      <c r="V56" s="288">
        <f>R56-L56</f>
        <v>-10.23372839319789</v>
      </c>
      <c r="W56" s="158"/>
      <c r="X56" s="158"/>
      <c r="Y56" s="158"/>
    </row>
    <row r="57" spans="1:25">
      <c r="A57" s="176"/>
      <c r="B57" s="166" t="s">
        <v>482</v>
      </c>
      <c r="C57" s="176"/>
      <c r="D57" s="176" t="s">
        <v>484</v>
      </c>
      <c r="E57" s="176"/>
      <c r="F57" s="276">
        <f>SUM(F55:F56)</f>
        <v>399.12960599999997</v>
      </c>
      <c r="G57" s="176"/>
      <c r="H57" s="276">
        <f>SUM(H55:H56)</f>
        <v>295.292036</v>
      </c>
      <c r="I57" s="276"/>
      <c r="J57" s="275"/>
      <c r="K57" s="285"/>
      <c r="L57" s="276">
        <f>SUM(L55:L56)</f>
        <v>23.270904375537846</v>
      </c>
      <c r="M57" s="285"/>
      <c r="N57" s="276"/>
      <c r="O57" s="285"/>
      <c r="P57" s="290"/>
      <c r="Q57" s="285"/>
      <c r="R57" s="276">
        <f>SUM(R55:R56)</f>
        <v>13.037175982339956</v>
      </c>
      <c r="S57" s="285"/>
      <c r="T57" s="286">
        <f>R57/F57</f>
        <v>3.2664016365500981E-2</v>
      </c>
      <c r="U57" s="285"/>
      <c r="V57" s="276">
        <f>SUM(V55:V56)</f>
        <v>-10.23372839319789</v>
      </c>
      <c r="W57" s="158"/>
      <c r="X57" s="158"/>
      <c r="Y57" s="158"/>
    </row>
    <row r="58" spans="1:25">
      <c r="A58" s="176"/>
      <c r="B58" s="166"/>
      <c r="C58" s="176"/>
      <c r="D58" s="176"/>
      <c r="E58" s="176"/>
      <c r="F58" s="176"/>
      <c r="G58" s="176"/>
      <c r="H58" s="276"/>
      <c r="I58" s="276"/>
      <c r="J58" s="276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158"/>
      <c r="X58" s="158"/>
      <c r="Y58" s="158"/>
    </row>
    <row r="59" spans="1:25">
      <c r="A59" s="176"/>
      <c r="B59" s="166" t="s">
        <v>497</v>
      </c>
      <c r="C59" s="176"/>
      <c r="D59" s="166" t="s">
        <v>476</v>
      </c>
      <c r="E59" s="176"/>
      <c r="F59" s="276">
        <v>233.978163</v>
      </c>
      <c r="G59" s="176"/>
      <c r="H59" s="276">
        <v>215.56967800000001</v>
      </c>
      <c r="I59" s="276"/>
      <c r="J59" s="275">
        <v>21.87</v>
      </c>
      <c r="K59" s="285"/>
      <c r="L59" s="285">
        <f>H59/J59</f>
        <v>9.8568668495656144</v>
      </c>
      <c r="M59" s="285"/>
      <c r="N59" s="286">
        <f>L59/F59</f>
        <v>4.2127293945656008E-2</v>
      </c>
      <c r="O59" s="285"/>
      <c r="P59" s="287">
        <f>J59</f>
        <v>21.87</v>
      </c>
      <c r="Q59" s="285"/>
      <c r="R59" s="285">
        <f>H59/P59</f>
        <v>9.8568668495656144</v>
      </c>
      <c r="S59" s="285"/>
      <c r="T59" s="286">
        <f>R59/F59</f>
        <v>4.2127293945656008E-2</v>
      </c>
      <c r="U59" s="285"/>
      <c r="V59" s="285">
        <f>R59-L59</f>
        <v>0</v>
      </c>
      <c r="W59" s="158"/>
      <c r="X59" s="158"/>
      <c r="Y59" s="158"/>
    </row>
    <row r="60" spans="1:25">
      <c r="A60" s="176"/>
      <c r="B60" s="166" t="s">
        <v>497</v>
      </c>
      <c r="C60" s="176"/>
      <c r="D60" s="166" t="s">
        <v>485</v>
      </c>
      <c r="E60" s="176"/>
      <c r="F60" s="279">
        <v>169.58434600000001</v>
      </c>
      <c r="G60" s="176"/>
      <c r="H60" s="279">
        <v>101.66595</v>
      </c>
      <c r="I60" s="276"/>
      <c r="J60" s="280">
        <v>7.16</v>
      </c>
      <c r="K60" s="285"/>
      <c r="L60" s="288">
        <f>H60/J60</f>
        <v>14.19915502793296</v>
      </c>
      <c r="M60" s="285"/>
      <c r="N60" s="286">
        <f>L60/F60</f>
        <v>8.3729161109793462E-2</v>
      </c>
      <c r="O60" s="285"/>
      <c r="P60" s="287">
        <f>J59</f>
        <v>21.87</v>
      </c>
      <c r="Q60" s="285"/>
      <c r="R60" s="288">
        <f>H60/P60</f>
        <v>4.6486488340192036</v>
      </c>
      <c r="S60" s="285"/>
      <c r="T60" s="289">
        <f>R60/F60</f>
        <v>2.7412016165803438E-2</v>
      </c>
      <c r="U60" s="285"/>
      <c r="V60" s="288">
        <f>R60-L60</f>
        <v>-9.5505061939137565</v>
      </c>
      <c r="W60" s="158"/>
      <c r="X60" s="158"/>
      <c r="Y60" s="158"/>
    </row>
    <row r="61" spans="1:25">
      <c r="A61" s="176"/>
      <c r="B61" s="166" t="s">
        <v>482</v>
      </c>
      <c r="C61" s="176"/>
      <c r="D61" s="176" t="s">
        <v>484</v>
      </c>
      <c r="E61" s="176"/>
      <c r="F61" s="276">
        <f>SUM(F59:F60)</f>
        <v>403.56250899999998</v>
      </c>
      <c r="G61" s="176"/>
      <c r="H61" s="276">
        <f>SUM(H59:H60)</f>
        <v>317.23562800000002</v>
      </c>
      <c r="I61" s="276"/>
      <c r="J61" s="275"/>
      <c r="K61" s="285"/>
      <c r="L61" s="276">
        <f>SUM(L59:L60)</f>
        <v>24.056021877498573</v>
      </c>
      <c r="M61" s="285"/>
      <c r="N61" s="276"/>
      <c r="O61" s="285"/>
      <c r="P61" s="290"/>
      <c r="Q61" s="285"/>
      <c r="R61" s="276">
        <f>SUM(R59:R60)</f>
        <v>14.505515683584818</v>
      </c>
      <c r="S61" s="285"/>
      <c r="T61" s="286">
        <f>R61/F61</f>
        <v>3.5943665132641987E-2</v>
      </c>
      <c r="U61" s="285"/>
      <c r="V61" s="276">
        <f>SUM(V59:V60)</f>
        <v>-9.5505061939137565</v>
      </c>
      <c r="W61" s="158"/>
      <c r="X61" s="158"/>
      <c r="Y61" s="158"/>
    </row>
    <row r="62" spans="1:25">
      <c r="A62" s="176"/>
      <c r="B62" s="176"/>
      <c r="C62" s="176"/>
      <c r="D62" s="176"/>
      <c r="E62" s="176"/>
      <c r="F62" s="176"/>
      <c r="G62" s="176"/>
      <c r="H62" s="276"/>
      <c r="I62" s="276"/>
      <c r="J62" s="276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158"/>
      <c r="X62" s="158"/>
      <c r="Y62" s="158"/>
    </row>
    <row r="63" spans="1:25">
      <c r="A63" s="176"/>
      <c r="B63" s="166" t="s">
        <v>498</v>
      </c>
      <c r="C63" s="176"/>
      <c r="D63" s="166" t="s">
        <v>476</v>
      </c>
      <c r="E63" s="176"/>
      <c r="F63" s="276">
        <v>278.605458</v>
      </c>
      <c r="G63" s="176"/>
      <c r="H63" s="276">
        <v>241.488089</v>
      </c>
      <c r="I63" s="276"/>
      <c r="J63" s="275">
        <v>25.84</v>
      </c>
      <c r="K63" s="285"/>
      <c r="L63" s="285">
        <f>H63/J63</f>
        <v>9.3455142801857587</v>
      </c>
      <c r="M63" s="285"/>
      <c r="N63" s="286">
        <f>L63/F63</f>
        <v>3.3543902360253681E-2</v>
      </c>
      <c r="O63" s="285"/>
      <c r="P63" s="287">
        <f>J63</f>
        <v>25.84</v>
      </c>
      <c r="Q63" s="285"/>
      <c r="R63" s="285">
        <f>H63/P63</f>
        <v>9.3455142801857587</v>
      </c>
      <c r="S63" s="285"/>
      <c r="T63" s="286">
        <f>R63/F63</f>
        <v>3.3543902360253681E-2</v>
      </c>
      <c r="U63" s="285"/>
      <c r="V63" s="285">
        <f>R63-L63</f>
        <v>0</v>
      </c>
      <c r="W63" s="158"/>
      <c r="X63" s="158"/>
      <c r="Y63" s="158"/>
    </row>
    <row r="64" spans="1:25">
      <c r="A64" s="176"/>
      <c r="B64" s="166" t="s">
        <v>498</v>
      </c>
      <c r="C64" s="176"/>
      <c r="D64" s="166" t="s">
        <v>485</v>
      </c>
      <c r="E64" s="176"/>
      <c r="F64" s="279">
        <v>187.98995500000001</v>
      </c>
      <c r="G64" s="176"/>
      <c r="H64" s="279">
        <v>106.00721299999999</v>
      </c>
      <c r="I64" s="276"/>
      <c r="J64" s="280">
        <v>7.4</v>
      </c>
      <c r="K64" s="285"/>
      <c r="L64" s="288">
        <f>H64/J64</f>
        <v>14.325299054054053</v>
      </c>
      <c r="M64" s="285"/>
      <c r="N64" s="286">
        <f>L64/F64</f>
        <v>7.6202470786559062E-2</v>
      </c>
      <c r="O64" s="285"/>
      <c r="P64" s="287">
        <f>J63</f>
        <v>25.84</v>
      </c>
      <c r="Q64" s="285"/>
      <c r="R64" s="288">
        <f>H64/P64</f>
        <v>4.1024463235294117</v>
      </c>
      <c r="S64" s="285"/>
      <c r="T64" s="289">
        <f>R64/F64</f>
        <v>2.1822689002342768E-2</v>
      </c>
      <c r="U64" s="285"/>
      <c r="V64" s="288">
        <f>R64-L64</f>
        <v>-10.222852730524641</v>
      </c>
      <c r="W64" s="158"/>
      <c r="X64" s="158"/>
      <c r="Y64" s="158"/>
    </row>
    <row r="65" spans="1:25">
      <c r="A65" s="176"/>
      <c r="B65" s="166" t="s">
        <v>482</v>
      </c>
      <c r="C65" s="176"/>
      <c r="D65" s="176" t="s">
        <v>484</v>
      </c>
      <c r="E65" s="176"/>
      <c r="F65" s="276">
        <f>SUM(F63:F64)</f>
        <v>466.59541300000001</v>
      </c>
      <c r="G65" s="176"/>
      <c r="H65" s="276">
        <f>SUM(H63:H64)</f>
        <v>347.49530199999998</v>
      </c>
      <c r="I65" s="276"/>
      <c r="J65" s="275"/>
      <c r="K65" s="285"/>
      <c r="L65" s="276">
        <f>SUM(L63:L64)</f>
        <v>23.67081333423981</v>
      </c>
      <c r="M65" s="285"/>
      <c r="N65" s="276"/>
      <c r="O65" s="285"/>
      <c r="P65" s="290"/>
      <c r="Q65" s="285"/>
      <c r="R65" s="276">
        <f>SUM(R63:R64)</f>
        <v>13.44796060371517</v>
      </c>
      <c r="S65" s="285"/>
      <c r="T65" s="286">
        <f>R65/F65</f>
        <v>2.8821459082185984E-2</v>
      </c>
      <c r="U65" s="285"/>
      <c r="V65" s="276">
        <f>SUM(V63:V64)</f>
        <v>-10.222852730524641</v>
      </c>
      <c r="W65" s="158"/>
      <c r="X65" s="158"/>
      <c r="Y65" s="158"/>
    </row>
    <row r="66" spans="1:25">
      <c r="A66" s="176"/>
      <c r="B66" s="166"/>
      <c r="C66" s="176"/>
      <c r="D66" s="176"/>
      <c r="E66" s="176"/>
      <c r="F66" s="276"/>
      <c r="G66" s="176"/>
      <c r="H66" s="276"/>
      <c r="I66" s="276"/>
      <c r="J66" s="275"/>
      <c r="K66" s="285"/>
      <c r="L66" s="291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158"/>
      <c r="X66" s="158"/>
      <c r="Y66" s="158"/>
    </row>
    <row r="67" spans="1:25">
      <c r="A67" s="176"/>
      <c r="B67" s="166" t="s">
        <v>499</v>
      </c>
      <c r="C67" s="176"/>
      <c r="D67" s="166" t="s">
        <v>476</v>
      </c>
      <c r="E67" s="176"/>
      <c r="F67" s="276">
        <v>31.305861</v>
      </c>
      <c r="G67" s="176"/>
      <c r="H67" s="276">
        <v>30.093921999999999</v>
      </c>
      <c r="I67" s="276"/>
      <c r="J67" s="275">
        <v>29.39</v>
      </c>
      <c r="K67" s="285"/>
      <c r="L67" s="285">
        <f>H67/J67</f>
        <v>1.0239510717931268</v>
      </c>
      <c r="M67" s="285"/>
      <c r="N67" s="286">
        <f>L67/F67</f>
        <v>3.270796710536493E-2</v>
      </c>
      <c r="O67" s="285"/>
      <c r="P67" s="287">
        <f>J67</f>
        <v>29.39</v>
      </c>
      <c r="Q67" s="285"/>
      <c r="R67" s="285">
        <f>H67/P67</f>
        <v>1.0239510717931268</v>
      </c>
      <c r="S67" s="285"/>
      <c r="T67" s="286">
        <f>R67/F67</f>
        <v>3.270796710536493E-2</v>
      </c>
      <c r="U67" s="285"/>
      <c r="V67" s="285">
        <f>R67-L67</f>
        <v>0</v>
      </c>
      <c r="W67" s="158"/>
      <c r="X67" s="158"/>
      <c r="Y67" s="158"/>
    </row>
    <row r="68" spans="1:25">
      <c r="A68" s="176"/>
      <c r="B68" s="166" t="s">
        <v>499</v>
      </c>
      <c r="C68" s="176"/>
      <c r="D68" s="166" t="s">
        <v>485</v>
      </c>
      <c r="E68" s="176"/>
      <c r="F68" s="279">
        <v>126.77198199999999</v>
      </c>
      <c r="G68" s="176"/>
      <c r="H68" s="279">
        <v>65.736424999999997</v>
      </c>
      <c r="I68" s="276"/>
      <c r="J68" s="280">
        <v>6.89</v>
      </c>
      <c r="K68" s="285"/>
      <c r="L68" s="288">
        <f>H68/J68</f>
        <v>9.5408454281567483</v>
      </c>
      <c r="M68" s="285"/>
      <c r="N68" s="286">
        <f>L68/F68</f>
        <v>7.5259890061170995E-2</v>
      </c>
      <c r="O68" s="285"/>
      <c r="P68" s="287">
        <f>J67</f>
        <v>29.39</v>
      </c>
      <c r="Q68" s="285"/>
      <c r="R68" s="288">
        <f>H68/P68</f>
        <v>2.2366936032664171</v>
      </c>
      <c r="S68" s="285"/>
      <c r="T68" s="289">
        <f>R68/F68</f>
        <v>1.76434379898424E-2</v>
      </c>
      <c r="U68" s="285"/>
      <c r="V68" s="288">
        <f>R68-L68</f>
        <v>-7.3041518248903312</v>
      </c>
      <c r="W68" s="158"/>
      <c r="X68" s="158"/>
      <c r="Y68" s="158"/>
    </row>
    <row r="69" spans="1:25">
      <c r="A69" s="176"/>
      <c r="B69" s="166" t="s">
        <v>482</v>
      </c>
      <c r="C69" s="176"/>
      <c r="D69" s="176" t="s">
        <v>484</v>
      </c>
      <c r="E69" s="176"/>
      <c r="F69" s="276">
        <f>SUM(F67:F68)</f>
        <v>158.077843</v>
      </c>
      <c r="G69" s="176"/>
      <c r="H69" s="276">
        <f>SUM(H67:H68)</f>
        <v>95.830346999999989</v>
      </c>
      <c r="I69" s="276"/>
      <c r="J69" s="275"/>
      <c r="K69" s="285"/>
      <c r="L69" s="276">
        <f>SUM(L67:L68)</f>
        <v>10.564796499949875</v>
      </c>
      <c r="M69" s="285"/>
      <c r="N69" s="276"/>
      <c r="O69" s="285"/>
      <c r="P69" s="290"/>
      <c r="Q69" s="285"/>
      <c r="R69" s="276">
        <f>SUM(R67:R68)</f>
        <v>3.2606446750595439</v>
      </c>
      <c r="S69" s="285"/>
      <c r="T69" s="286">
        <f>R69/F69</f>
        <v>2.0626829245510035E-2</v>
      </c>
      <c r="U69" s="285"/>
      <c r="V69" s="276">
        <f>SUM(V67:V68)</f>
        <v>-7.3041518248903312</v>
      </c>
      <c r="W69" s="158"/>
      <c r="X69" s="158"/>
      <c r="Y69" s="158"/>
    </row>
    <row r="70" spans="1:25">
      <c r="A70" s="176"/>
      <c r="B70" s="166"/>
      <c r="C70" s="176"/>
      <c r="D70" s="176"/>
      <c r="E70" s="176"/>
      <c r="F70" s="276"/>
      <c r="G70" s="176"/>
      <c r="H70" s="276"/>
      <c r="I70" s="276"/>
      <c r="J70" s="275"/>
      <c r="K70" s="285"/>
      <c r="L70" s="291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158"/>
      <c r="X70" s="158"/>
      <c r="Y70" s="158"/>
    </row>
    <row r="71" spans="1:25">
      <c r="A71" s="176"/>
      <c r="B71" s="166" t="s">
        <v>500</v>
      </c>
      <c r="C71" s="176"/>
      <c r="D71" s="166" t="s">
        <v>476</v>
      </c>
      <c r="E71" s="176"/>
      <c r="F71" s="276">
        <v>302.83179899999999</v>
      </c>
      <c r="G71" s="176"/>
      <c r="H71" s="276">
        <v>324.236895</v>
      </c>
      <c r="I71" s="276"/>
      <c r="J71" s="275">
        <v>27.4</v>
      </c>
      <c r="K71" s="285"/>
      <c r="L71" s="285">
        <f>H71/J71</f>
        <v>11.833463321167883</v>
      </c>
      <c r="M71" s="285"/>
      <c r="N71" s="286">
        <f>L71/F71</f>
        <v>3.9076026230547484E-2</v>
      </c>
      <c r="O71" s="285"/>
      <c r="P71" s="287">
        <f>J71</f>
        <v>27.4</v>
      </c>
      <c r="Q71" s="285"/>
      <c r="R71" s="285">
        <f>H71/P71</f>
        <v>11.833463321167883</v>
      </c>
      <c r="S71" s="285"/>
      <c r="T71" s="286">
        <f>R71/F71</f>
        <v>3.9076026230547484E-2</v>
      </c>
      <c r="U71" s="285"/>
      <c r="V71" s="285">
        <f>R71-L71</f>
        <v>0</v>
      </c>
      <c r="W71" s="158"/>
      <c r="X71" s="158"/>
      <c r="Y71" s="158"/>
    </row>
    <row r="72" spans="1:25">
      <c r="A72" s="176"/>
      <c r="B72" s="166" t="s">
        <v>500</v>
      </c>
      <c r="C72" s="176"/>
      <c r="D72" s="166" t="s">
        <v>485</v>
      </c>
      <c r="E72" s="176"/>
      <c r="F72" s="279">
        <v>81.978671000000006</v>
      </c>
      <c r="G72" s="176"/>
      <c r="H72" s="279">
        <v>57.218387999999997</v>
      </c>
      <c r="I72" s="276"/>
      <c r="J72" s="280">
        <v>5.91</v>
      </c>
      <c r="K72" s="285"/>
      <c r="L72" s="288">
        <f>H72/J72</f>
        <v>9.6816223350253807</v>
      </c>
      <c r="M72" s="285"/>
      <c r="N72" s="286">
        <f>L72/F72</f>
        <v>0.11809928383719931</v>
      </c>
      <c r="O72" s="285"/>
      <c r="P72" s="287">
        <f>J71</f>
        <v>27.4</v>
      </c>
      <c r="Q72" s="285"/>
      <c r="R72" s="288">
        <f>H72/P72</f>
        <v>2.0882623357664234</v>
      </c>
      <c r="S72" s="285"/>
      <c r="T72" s="289">
        <f>R72/F72</f>
        <v>2.5473239688972554E-2</v>
      </c>
      <c r="U72" s="285"/>
      <c r="V72" s="288">
        <f>R72-L72</f>
        <v>-7.5933599992589578</v>
      </c>
      <c r="W72" s="158"/>
      <c r="X72" s="158"/>
      <c r="Y72" s="158"/>
    </row>
    <row r="73" spans="1:25">
      <c r="A73" s="176"/>
      <c r="B73" s="166" t="s">
        <v>482</v>
      </c>
      <c r="C73" s="176"/>
      <c r="D73" s="176" t="s">
        <v>484</v>
      </c>
      <c r="E73" s="176"/>
      <c r="F73" s="276">
        <f>SUM(F71:F72)</f>
        <v>384.81047000000001</v>
      </c>
      <c r="G73" s="176"/>
      <c r="H73" s="276">
        <f>SUM(H71:H72)</f>
        <v>381.45528300000001</v>
      </c>
      <c r="I73" s="276"/>
      <c r="J73" s="275"/>
      <c r="K73" s="285"/>
      <c r="L73" s="276">
        <f>SUM(L71:L72)</f>
        <v>21.515085656193264</v>
      </c>
      <c r="M73" s="285"/>
      <c r="N73" s="276"/>
      <c r="O73" s="285"/>
      <c r="P73" s="290"/>
      <c r="Q73" s="285"/>
      <c r="R73" s="276">
        <f>SUM(R71:R72)</f>
        <v>13.921725656934306</v>
      </c>
      <c r="S73" s="285"/>
      <c r="T73" s="286">
        <f>R73/F73</f>
        <v>3.6178136361347722E-2</v>
      </c>
      <c r="U73" s="285"/>
      <c r="V73" s="276">
        <f>SUM(V71:V72)</f>
        <v>-7.5933599992589578</v>
      </c>
      <c r="W73" s="158"/>
      <c r="X73" s="158"/>
      <c r="Y73" s="158"/>
    </row>
    <row r="74" spans="1:25">
      <c r="A74" s="176"/>
      <c r="B74" s="166"/>
      <c r="C74" s="176"/>
      <c r="D74" s="176"/>
      <c r="E74" s="176"/>
      <c r="F74" s="176"/>
      <c r="G74" s="176"/>
      <c r="H74" s="276"/>
      <c r="I74" s="276"/>
      <c r="J74" s="276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158"/>
      <c r="X74" s="158"/>
      <c r="Y74" s="158"/>
    </row>
    <row r="75" spans="1:25">
      <c r="A75" s="176"/>
      <c r="B75" s="166" t="s">
        <v>501</v>
      </c>
      <c r="C75" s="176"/>
      <c r="D75" s="166" t="s">
        <v>476</v>
      </c>
      <c r="E75" s="176"/>
      <c r="F75" s="276">
        <v>257.77257600000002</v>
      </c>
      <c r="G75" s="176"/>
      <c r="H75" s="276">
        <v>239.80755400000001</v>
      </c>
      <c r="I75" s="276"/>
      <c r="J75" s="275">
        <v>27.39</v>
      </c>
      <c r="K75" s="285"/>
      <c r="L75" s="285">
        <f>H75/J75</f>
        <v>8.755295874406718</v>
      </c>
      <c r="M75" s="285"/>
      <c r="N75" s="286">
        <f>L75/F75</f>
        <v>3.3965195251828173E-2</v>
      </c>
      <c r="O75" s="285"/>
      <c r="P75" s="287">
        <f>J75</f>
        <v>27.39</v>
      </c>
      <c r="Q75" s="285"/>
      <c r="R75" s="285">
        <f>H75/P75</f>
        <v>8.755295874406718</v>
      </c>
      <c r="S75" s="285"/>
      <c r="T75" s="286">
        <f>R75/F75</f>
        <v>3.3965195251828173E-2</v>
      </c>
      <c r="U75" s="285"/>
      <c r="V75" s="285">
        <f>R75-L75</f>
        <v>0</v>
      </c>
      <c r="W75" s="158"/>
      <c r="X75" s="158"/>
      <c r="Y75" s="158"/>
    </row>
    <row r="76" spans="1:25">
      <c r="A76" s="176"/>
      <c r="B76" s="166" t="s">
        <v>501</v>
      </c>
      <c r="C76" s="176"/>
      <c r="D76" s="166" t="s">
        <v>485</v>
      </c>
      <c r="E76" s="176"/>
      <c r="F76" s="279">
        <v>149.902839</v>
      </c>
      <c r="G76" s="176"/>
      <c r="H76" s="279">
        <v>79.629394000000005</v>
      </c>
      <c r="I76" s="276"/>
      <c r="J76" s="280">
        <v>5.84</v>
      </c>
      <c r="K76" s="285"/>
      <c r="L76" s="288">
        <f>H76/J76</f>
        <v>13.635170205479453</v>
      </c>
      <c r="M76" s="285"/>
      <c r="N76" s="286">
        <f>L76/F76</f>
        <v>9.0960053168035418E-2</v>
      </c>
      <c r="O76" s="285"/>
      <c r="P76" s="287">
        <f>J75</f>
        <v>27.39</v>
      </c>
      <c r="Q76" s="285"/>
      <c r="R76" s="288">
        <f>H76/P76</f>
        <v>2.9072433004746259</v>
      </c>
      <c r="S76" s="285"/>
      <c r="T76" s="289">
        <f>R76/F76</f>
        <v>1.9394184392162353E-2</v>
      </c>
      <c r="U76" s="285"/>
      <c r="V76" s="288">
        <f>R76-L76</f>
        <v>-10.727926905004827</v>
      </c>
      <c r="W76" s="158"/>
      <c r="X76" s="158"/>
      <c r="Y76" s="158"/>
    </row>
    <row r="77" spans="1:25">
      <c r="A77" s="176"/>
      <c r="B77" s="166" t="s">
        <v>482</v>
      </c>
      <c r="C77" s="176"/>
      <c r="D77" s="176" t="s">
        <v>484</v>
      </c>
      <c r="E77" s="176"/>
      <c r="F77" s="276">
        <f>SUM(F75:F76)</f>
        <v>407.67541500000004</v>
      </c>
      <c r="G77" s="176"/>
      <c r="H77" s="276">
        <f>SUM(H75:H76)</f>
        <v>319.43694800000003</v>
      </c>
      <c r="I77" s="276"/>
      <c r="J77" s="275"/>
      <c r="K77" s="285"/>
      <c r="L77" s="276">
        <f>SUM(L75:L76)</f>
        <v>22.390466079886171</v>
      </c>
      <c r="M77" s="285"/>
      <c r="N77" s="276"/>
      <c r="O77" s="285"/>
      <c r="P77" s="290"/>
      <c r="Q77" s="285"/>
      <c r="R77" s="276">
        <f>SUM(R75:R76)</f>
        <v>11.662539174881344</v>
      </c>
      <c r="S77" s="285"/>
      <c r="T77" s="286">
        <f>R77/F77</f>
        <v>2.8607413510283279E-2</v>
      </c>
      <c r="U77" s="285"/>
      <c r="V77" s="276">
        <f>SUM(V75:V76)</f>
        <v>-10.727926905004827</v>
      </c>
      <c r="W77" s="158"/>
      <c r="X77" s="158"/>
      <c r="Y77" s="158"/>
    </row>
    <row r="78" spans="1:25">
      <c r="A78" s="176"/>
      <c r="B78" s="176"/>
      <c r="C78" s="176"/>
      <c r="D78" s="176"/>
      <c r="E78" s="176"/>
      <c r="F78" s="176"/>
      <c r="G78" s="176"/>
      <c r="H78" s="276"/>
      <c r="I78" s="276"/>
      <c r="J78" s="276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158"/>
      <c r="X78" s="158"/>
      <c r="Y78" s="158"/>
    </row>
    <row r="79" spans="1:25">
      <c r="A79" s="176"/>
      <c r="B79" s="166" t="s">
        <v>502</v>
      </c>
      <c r="C79" s="176"/>
      <c r="D79" s="166" t="s">
        <v>476</v>
      </c>
      <c r="E79" s="176"/>
      <c r="F79" s="276">
        <v>506.388398</v>
      </c>
      <c r="G79" s="176"/>
      <c r="H79" s="276">
        <v>492.36787700000002</v>
      </c>
      <c r="I79" s="276"/>
      <c r="J79" s="275">
        <v>28.99</v>
      </c>
      <c r="K79" s="285"/>
      <c r="L79" s="285">
        <f>H79/J79</f>
        <v>16.984059227319769</v>
      </c>
      <c r="M79" s="285"/>
      <c r="N79" s="286">
        <f>L79/F79</f>
        <v>3.3539589955849991E-2</v>
      </c>
      <c r="O79" s="285"/>
      <c r="P79" s="287">
        <f>J79</f>
        <v>28.99</v>
      </c>
      <c r="Q79" s="285"/>
      <c r="R79" s="285">
        <f>H79/P79</f>
        <v>16.984059227319769</v>
      </c>
      <c r="S79" s="285"/>
      <c r="T79" s="286">
        <f>R79/F79</f>
        <v>3.3539589955849991E-2</v>
      </c>
      <c r="U79" s="285"/>
      <c r="V79" s="285">
        <f>R79-L79</f>
        <v>0</v>
      </c>
      <c r="W79" s="158"/>
      <c r="X79" s="158"/>
      <c r="Y79" s="158"/>
    </row>
    <row r="80" spans="1:25">
      <c r="A80" s="176"/>
      <c r="B80" s="166" t="s">
        <v>502</v>
      </c>
      <c r="C80" s="176"/>
      <c r="D80" s="166" t="s">
        <v>485</v>
      </c>
      <c r="E80" s="176"/>
      <c r="F80" s="279">
        <v>84.037288000000004</v>
      </c>
      <c r="G80" s="176"/>
      <c r="H80" s="279">
        <v>49.657460999999998</v>
      </c>
      <c r="I80" s="276"/>
      <c r="J80" s="280">
        <v>6.9</v>
      </c>
      <c r="K80" s="285"/>
      <c r="L80" s="288">
        <f>H80/J80</f>
        <v>7.1967334782608692</v>
      </c>
      <c r="M80" s="285"/>
      <c r="N80" s="286">
        <f>L80/F80</f>
        <v>8.5637383708299444E-2</v>
      </c>
      <c r="O80" s="285"/>
      <c r="P80" s="287">
        <f>J79</f>
        <v>28.99</v>
      </c>
      <c r="Q80" s="285"/>
      <c r="R80" s="288">
        <f>H80/P80</f>
        <v>1.7129169023801312</v>
      </c>
      <c r="S80" s="285"/>
      <c r="T80" s="289">
        <f>R80/F80</f>
        <v>2.038281985468321E-2</v>
      </c>
      <c r="U80" s="285"/>
      <c r="V80" s="288">
        <f>R80-L80</f>
        <v>-5.4838165758807378</v>
      </c>
      <c r="W80" s="158"/>
      <c r="X80" s="158"/>
      <c r="Y80" s="158"/>
    </row>
    <row r="81" spans="1:25">
      <c r="A81" s="176"/>
      <c r="B81" s="166" t="s">
        <v>482</v>
      </c>
      <c r="C81" s="176"/>
      <c r="D81" s="176" t="s">
        <v>484</v>
      </c>
      <c r="E81" s="176"/>
      <c r="F81" s="276">
        <f>SUM(F79:F80)</f>
        <v>590.42568600000004</v>
      </c>
      <c r="G81" s="176"/>
      <c r="H81" s="276">
        <f>SUM(H79:H80)</f>
        <v>542.02533800000003</v>
      </c>
      <c r="I81" s="276"/>
      <c r="J81" s="275"/>
      <c r="K81" s="285"/>
      <c r="L81" s="276">
        <f>SUM(L79:L80)</f>
        <v>24.180792705580636</v>
      </c>
      <c r="M81" s="285"/>
      <c r="N81" s="276"/>
      <c r="O81" s="285"/>
      <c r="P81" s="290"/>
      <c r="Q81" s="285"/>
      <c r="R81" s="276">
        <f>SUM(R79:R80)</f>
        <v>18.696976129699898</v>
      </c>
      <c r="S81" s="285"/>
      <c r="T81" s="286">
        <f>R81/F81</f>
        <v>3.1666942297798165E-2</v>
      </c>
      <c r="U81" s="285"/>
      <c r="V81" s="276">
        <f>SUM(V79:V80)</f>
        <v>-5.4838165758807378</v>
      </c>
      <c r="W81" s="158"/>
      <c r="X81" s="158"/>
      <c r="Y81" s="158"/>
    </row>
    <row r="82" spans="1:25">
      <c r="A82" s="176"/>
      <c r="B82" s="166"/>
      <c r="C82" s="176"/>
      <c r="D82" s="176"/>
      <c r="E82" s="176"/>
      <c r="F82" s="276"/>
      <c r="G82" s="176"/>
      <c r="H82" s="276"/>
      <c r="I82" s="276"/>
      <c r="J82" s="275"/>
      <c r="K82" s="285"/>
      <c r="L82" s="291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158"/>
      <c r="X82" s="158"/>
      <c r="Y82" s="158"/>
    </row>
    <row r="83" spans="1:25">
      <c r="A83" s="176"/>
      <c r="B83" s="166" t="s">
        <v>503</v>
      </c>
      <c r="C83" s="176"/>
      <c r="D83" s="166" t="s">
        <v>476</v>
      </c>
      <c r="E83" s="176"/>
      <c r="F83" s="276">
        <v>400.91390799999999</v>
      </c>
      <c r="G83" s="176"/>
      <c r="H83" s="276">
        <v>374.76620100000002</v>
      </c>
      <c r="I83" s="276"/>
      <c r="J83" s="275">
        <v>30.59</v>
      </c>
      <c r="K83" s="285"/>
      <c r="L83" s="285">
        <f>H83/J83</f>
        <v>12.251265152010461</v>
      </c>
      <c r="M83" s="285"/>
      <c r="N83" s="286">
        <f>L83/F83</f>
        <v>3.0558344092194632E-2</v>
      </c>
      <c r="O83" s="285"/>
      <c r="P83" s="287">
        <f>J83</f>
        <v>30.59</v>
      </c>
      <c r="Q83" s="285"/>
      <c r="R83" s="285">
        <f>H83/P83</f>
        <v>12.251265152010461</v>
      </c>
      <c r="S83" s="285"/>
      <c r="T83" s="286">
        <f>R83/F83</f>
        <v>3.0558344092194632E-2</v>
      </c>
      <c r="U83" s="285"/>
      <c r="V83" s="285">
        <f>R83-L83</f>
        <v>0</v>
      </c>
      <c r="W83" s="158"/>
      <c r="X83" s="158"/>
      <c r="Y83" s="158"/>
    </row>
    <row r="84" spans="1:25">
      <c r="A84" s="176"/>
      <c r="B84" s="166" t="s">
        <v>503</v>
      </c>
      <c r="C84" s="176"/>
      <c r="D84" s="166" t="s">
        <v>485</v>
      </c>
      <c r="E84" s="176"/>
      <c r="F84" s="279">
        <v>229.37219400000001</v>
      </c>
      <c r="G84" s="176"/>
      <c r="H84" s="279">
        <v>123.443675</v>
      </c>
      <c r="I84" s="276"/>
      <c r="J84" s="280">
        <v>7.28</v>
      </c>
      <c r="K84" s="285"/>
      <c r="L84" s="288">
        <f>H84/J84</f>
        <v>16.956548763736262</v>
      </c>
      <c r="M84" s="285"/>
      <c r="N84" s="286">
        <f>L84/F84</f>
        <v>7.3925912587888748E-2</v>
      </c>
      <c r="O84" s="285"/>
      <c r="P84" s="287">
        <f>J83</f>
        <v>30.59</v>
      </c>
      <c r="Q84" s="285"/>
      <c r="R84" s="288">
        <f>H84/P84</f>
        <v>4.0354257927427266</v>
      </c>
      <c r="S84" s="285"/>
      <c r="T84" s="289">
        <f>R84/F84</f>
        <v>1.7593352194829364E-2</v>
      </c>
      <c r="U84" s="285"/>
      <c r="V84" s="288">
        <f>R84-L84</f>
        <v>-12.921122970993535</v>
      </c>
      <c r="W84" s="158"/>
      <c r="X84" s="158"/>
      <c r="Y84" s="158"/>
    </row>
    <row r="85" spans="1:25">
      <c r="A85" s="176"/>
      <c r="B85" s="166" t="s">
        <v>482</v>
      </c>
      <c r="C85" s="176"/>
      <c r="D85" s="176" t="s">
        <v>484</v>
      </c>
      <c r="E85" s="176"/>
      <c r="F85" s="276">
        <f>SUM(F83:F84)</f>
        <v>630.28610200000003</v>
      </c>
      <c r="G85" s="176"/>
      <c r="H85" s="276">
        <f>SUM(H83:H84)</f>
        <v>498.20987600000001</v>
      </c>
      <c r="I85" s="276"/>
      <c r="J85" s="275"/>
      <c r="K85" s="285"/>
      <c r="L85" s="276">
        <f>SUM(L83:L84)</f>
        <v>29.207813915746723</v>
      </c>
      <c r="M85" s="285"/>
      <c r="N85" s="276"/>
      <c r="O85" s="285"/>
      <c r="P85" s="290"/>
      <c r="Q85" s="285"/>
      <c r="R85" s="276">
        <f>SUM(R83:R84)</f>
        <v>16.28669094475319</v>
      </c>
      <c r="S85" s="285"/>
      <c r="T85" s="286">
        <f>R85/F85</f>
        <v>2.5840155594535365E-2</v>
      </c>
      <c r="U85" s="285"/>
      <c r="V85" s="276">
        <f>SUM(V83:V84)</f>
        <v>-12.921122970993535</v>
      </c>
      <c r="W85" s="158"/>
      <c r="X85" s="158"/>
      <c r="Y85" s="158"/>
    </row>
    <row r="86" spans="1:25">
      <c r="A86" s="176"/>
      <c r="B86" s="166"/>
      <c r="C86" s="176"/>
      <c r="D86" s="176"/>
      <c r="E86" s="176"/>
      <c r="F86" s="176"/>
      <c r="G86" s="176"/>
      <c r="H86" s="276"/>
      <c r="I86" s="276"/>
      <c r="J86" s="276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158"/>
      <c r="X86" s="158"/>
      <c r="Y86" s="158"/>
    </row>
    <row r="87" spans="1:25">
      <c r="A87" s="176"/>
      <c r="B87" s="166" t="s">
        <v>504</v>
      </c>
      <c r="C87" s="176"/>
      <c r="D87" s="166" t="s">
        <v>476</v>
      </c>
      <c r="E87" s="176"/>
      <c r="F87" s="276">
        <v>533.78014399999995</v>
      </c>
      <c r="G87" s="176"/>
      <c r="H87" s="276">
        <v>498.01345099999998</v>
      </c>
      <c r="I87" s="276"/>
      <c r="J87" s="275">
        <v>31.39</v>
      </c>
      <c r="K87" s="285"/>
      <c r="L87" s="285">
        <f>H87/J87</f>
        <v>15.865353647658489</v>
      </c>
      <c r="M87" s="285"/>
      <c r="N87" s="286">
        <f>L87/F87</f>
        <v>2.9722637355462385E-2</v>
      </c>
      <c r="O87" s="285"/>
      <c r="P87" s="287">
        <f>J87</f>
        <v>31.39</v>
      </c>
      <c r="Q87" s="285"/>
      <c r="R87" s="285">
        <f>H87/P87</f>
        <v>15.865353647658489</v>
      </c>
      <c r="S87" s="285"/>
      <c r="T87" s="286">
        <f>R87/F87</f>
        <v>2.9722637355462385E-2</v>
      </c>
      <c r="U87" s="285"/>
      <c r="V87" s="285">
        <f>R87-L87</f>
        <v>0</v>
      </c>
      <c r="W87" s="158"/>
      <c r="X87" s="158"/>
      <c r="Y87" s="158"/>
    </row>
    <row r="88" spans="1:25">
      <c r="A88" s="176"/>
      <c r="B88" s="166" t="s">
        <v>504</v>
      </c>
      <c r="C88" s="176"/>
      <c r="D88" s="166" t="s">
        <v>485</v>
      </c>
      <c r="E88" s="176"/>
      <c r="F88" s="279">
        <v>139.52496099999999</v>
      </c>
      <c r="G88" s="176"/>
      <c r="H88" s="279">
        <v>68.721959999999996</v>
      </c>
      <c r="I88" s="276"/>
      <c r="J88" s="280">
        <v>7.12</v>
      </c>
      <c r="K88" s="285"/>
      <c r="L88" s="288">
        <f>H88/J88</f>
        <v>9.6519606741573032</v>
      </c>
      <c r="M88" s="285"/>
      <c r="N88" s="286">
        <f>L88/F88</f>
        <v>6.9177304225566519E-2</v>
      </c>
      <c r="O88" s="285"/>
      <c r="P88" s="287">
        <f>J87</f>
        <v>31.39</v>
      </c>
      <c r="Q88" s="285"/>
      <c r="R88" s="288">
        <f>H88/P88</f>
        <v>2.189294679834342</v>
      </c>
      <c r="S88" s="285"/>
      <c r="T88" s="289">
        <f>R88/F88</f>
        <v>1.5691061041288104E-2</v>
      </c>
      <c r="U88" s="285"/>
      <c r="V88" s="288">
        <f>R88-L88</f>
        <v>-7.4626659943229612</v>
      </c>
      <c r="W88" s="158"/>
      <c r="X88" s="158"/>
      <c r="Y88" s="158"/>
    </row>
    <row r="89" spans="1:25">
      <c r="A89" s="176"/>
      <c r="B89" s="166" t="s">
        <v>482</v>
      </c>
      <c r="C89" s="176"/>
      <c r="D89" s="176" t="s">
        <v>484</v>
      </c>
      <c r="E89" s="176"/>
      <c r="F89" s="276">
        <f>SUM(F87:F88)</f>
        <v>673.30510499999991</v>
      </c>
      <c r="G89" s="176"/>
      <c r="H89" s="276">
        <f>SUM(H87:H88)</f>
        <v>566.735411</v>
      </c>
      <c r="I89" s="276"/>
      <c r="J89" s="275"/>
      <c r="K89" s="285"/>
      <c r="L89" s="276">
        <f>SUM(L87:L88)</f>
        <v>25.517314321815793</v>
      </c>
      <c r="M89" s="285"/>
      <c r="N89" s="276"/>
      <c r="O89" s="285"/>
      <c r="P89" s="290"/>
      <c r="Q89" s="285"/>
      <c r="R89" s="276">
        <f>SUM(R87:R88)</f>
        <v>18.054648327492831</v>
      </c>
      <c r="S89" s="285"/>
      <c r="T89" s="286">
        <f>R89/F89</f>
        <v>2.6814958320407853E-2</v>
      </c>
      <c r="U89" s="285"/>
      <c r="V89" s="276">
        <f>SUM(V87:V88)</f>
        <v>-7.4626659943229612</v>
      </c>
      <c r="W89" s="158"/>
      <c r="X89" s="158"/>
      <c r="Y89" s="158"/>
    </row>
    <row r="90" spans="1:25">
      <c r="A90" s="176"/>
      <c r="B90" s="176"/>
      <c r="C90" s="176"/>
      <c r="D90" s="176"/>
      <c r="E90" s="176"/>
      <c r="F90" s="176"/>
      <c r="G90" s="176"/>
      <c r="H90" s="276"/>
      <c r="I90" s="276"/>
      <c r="J90" s="276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158"/>
      <c r="X90" s="158"/>
      <c r="Y90" s="158"/>
    </row>
    <row r="91" spans="1:25">
      <c r="A91" s="176"/>
      <c r="B91" s="166" t="s">
        <v>505</v>
      </c>
      <c r="C91" s="176"/>
      <c r="D91" s="166" t="s">
        <v>476</v>
      </c>
      <c r="E91" s="176"/>
      <c r="F91" s="276">
        <v>518.62221699999998</v>
      </c>
      <c r="G91" s="176"/>
      <c r="H91" s="276">
        <v>512.32637299999999</v>
      </c>
      <c r="I91" s="276"/>
      <c r="J91" s="275">
        <v>33.03</v>
      </c>
      <c r="K91" s="285"/>
      <c r="L91" s="285">
        <f>H91/J91</f>
        <v>15.510940750832576</v>
      </c>
      <c r="M91" s="285"/>
      <c r="N91" s="286">
        <f>L91/F91</f>
        <v>2.990797586836234E-2</v>
      </c>
      <c r="O91" s="285"/>
      <c r="P91" s="287">
        <f>J91</f>
        <v>33.03</v>
      </c>
      <c r="Q91" s="285"/>
      <c r="R91" s="285">
        <f>H91/P91</f>
        <v>15.510940750832576</v>
      </c>
      <c r="S91" s="285"/>
      <c r="T91" s="286">
        <f>R91/F91</f>
        <v>2.990797586836234E-2</v>
      </c>
      <c r="U91" s="285"/>
      <c r="V91" s="285">
        <f>R91-L91</f>
        <v>0</v>
      </c>
      <c r="W91" s="158"/>
      <c r="X91" s="158"/>
      <c r="Y91" s="158"/>
    </row>
    <row r="92" spans="1:25">
      <c r="A92" s="176"/>
      <c r="B92" s="166" t="s">
        <v>505</v>
      </c>
      <c r="C92" s="176"/>
      <c r="D92" s="166" t="s">
        <v>485</v>
      </c>
      <c r="E92" s="176"/>
      <c r="F92" s="279">
        <v>191.36319599999999</v>
      </c>
      <c r="G92" s="176"/>
      <c r="H92" s="279">
        <v>108.457093</v>
      </c>
      <c r="I92" s="276"/>
      <c r="J92" s="280">
        <v>8.01</v>
      </c>
      <c r="K92" s="285"/>
      <c r="L92" s="288">
        <f>H92/J92</f>
        <v>13.540211360799002</v>
      </c>
      <c r="M92" s="285"/>
      <c r="N92" s="286">
        <f>L92/F92</f>
        <v>7.0756611740530315E-2</v>
      </c>
      <c r="O92" s="285"/>
      <c r="P92" s="287">
        <f>J91</f>
        <v>33.03</v>
      </c>
      <c r="Q92" s="285"/>
      <c r="R92" s="288">
        <f>H92/P92</f>
        <v>3.2835934907659703</v>
      </c>
      <c r="S92" s="285"/>
      <c r="T92" s="289">
        <f>R92/F92</f>
        <v>1.7158960340346585E-2</v>
      </c>
      <c r="U92" s="285"/>
      <c r="V92" s="288">
        <f>R92-L92</f>
        <v>-10.256617870033033</v>
      </c>
      <c r="W92" s="158"/>
      <c r="X92" s="158"/>
      <c r="Y92" s="158"/>
    </row>
    <row r="93" spans="1:25">
      <c r="A93" s="176"/>
      <c r="B93" s="166" t="s">
        <v>482</v>
      </c>
      <c r="C93" s="176"/>
      <c r="D93" s="176" t="s">
        <v>484</v>
      </c>
      <c r="E93" s="176"/>
      <c r="F93" s="276">
        <f>SUM(F91:F92)</f>
        <v>709.98541299999999</v>
      </c>
      <c r="G93" s="176"/>
      <c r="H93" s="276">
        <f>SUM(H91:H92)</f>
        <v>620.78346599999998</v>
      </c>
      <c r="I93" s="276"/>
      <c r="J93" s="275"/>
      <c r="K93" s="285"/>
      <c r="L93" s="276">
        <f>SUM(L91:L92)</f>
        <v>29.051152111631581</v>
      </c>
      <c r="M93" s="285"/>
      <c r="N93" s="276"/>
      <c r="O93" s="285"/>
      <c r="P93" s="290"/>
      <c r="Q93" s="285"/>
      <c r="R93" s="276">
        <f>SUM(R91:R92)</f>
        <v>18.794534241598548</v>
      </c>
      <c r="S93" s="285"/>
      <c r="T93" s="286">
        <f>R93/F93</f>
        <v>2.6471718851494977E-2</v>
      </c>
      <c r="U93" s="285"/>
      <c r="V93" s="276">
        <f>SUM(V91:V92)</f>
        <v>-10.256617870033033</v>
      </c>
      <c r="W93" s="158"/>
      <c r="X93" s="158"/>
      <c r="Y93" s="158"/>
    </row>
    <row r="94" spans="1:25">
      <c r="A94" s="166" t="s">
        <v>507</v>
      </c>
      <c r="B94" s="166"/>
      <c r="C94" s="176"/>
      <c r="D94" s="176"/>
      <c r="E94" s="176"/>
      <c r="F94" s="276"/>
      <c r="G94" s="176"/>
      <c r="H94" s="276"/>
      <c r="I94" s="276"/>
      <c r="J94" s="275"/>
      <c r="K94" s="285"/>
      <c r="L94" s="291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158"/>
      <c r="X94" s="158"/>
      <c r="Y94" s="158"/>
    </row>
    <row r="95" spans="1:25">
      <c r="A95" s="176"/>
      <c r="B95" s="166" t="s">
        <v>506</v>
      </c>
      <c r="C95" s="176"/>
      <c r="D95" s="166" t="s">
        <v>476</v>
      </c>
      <c r="E95" s="176"/>
      <c r="F95" s="276">
        <v>14.841925</v>
      </c>
      <c r="G95" s="176"/>
      <c r="H95" s="276">
        <v>13.098998999999999</v>
      </c>
      <c r="I95" s="276"/>
      <c r="J95" s="275">
        <v>10.14</v>
      </c>
      <c r="K95" s="285"/>
      <c r="L95" s="285">
        <f>H95/J95</f>
        <v>1.29181449704142</v>
      </c>
      <c r="M95" s="285"/>
      <c r="N95" s="286">
        <f>L95/F95</f>
        <v>8.7038204076723205E-2</v>
      </c>
      <c r="O95" s="285"/>
      <c r="P95" s="287">
        <f>J95</f>
        <v>10.14</v>
      </c>
      <c r="Q95" s="285"/>
      <c r="R95" s="285">
        <f>H95/P95</f>
        <v>1.29181449704142</v>
      </c>
      <c r="S95" s="285"/>
      <c r="T95" s="286">
        <f>R95/F95</f>
        <v>8.7038204076723205E-2</v>
      </c>
      <c r="U95" s="285"/>
      <c r="V95" s="285">
        <f>R95-L95</f>
        <v>0</v>
      </c>
      <c r="W95" s="158"/>
      <c r="X95" s="158"/>
      <c r="Y95" s="158"/>
    </row>
    <row r="96" spans="1:25">
      <c r="A96" s="176"/>
      <c r="B96" s="166" t="s">
        <v>506</v>
      </c>
      <c r="C96" s="176"/>
      <c r="D96" s="166" t="s">
        <v>485</v>
      </c>
      <c r="E96" s="176"/>
      <c r="F96" s="279">
        <v>1.858779</v>
      </c>
      <c r="G96" s="176"/>
      <c r="H96" s="279">
        <v>0.74830700000000006</v>
      </c>
      <c r="I96" s="276"/>
      <c r="J96" s="280">
        <v>7.6</v>
      </c>
      <c r="K96" s="285"/>
      <c r="L96" s="288">
        <f>H96/J96</f>
        <v>9.8461447368421065E-2</v>
      </c>
      <c r="M96" s="285"/>
      <c r="N96" s="286">
        <f>L96/F96</f>
        <v>5.2971034947361183E-2</v>
      </c>
      <c r="O96" s="285"/>
      <c r="P96" s="287">
        <f>J95</f>
        <v>10.14</v>
      </c>
      <c r="Q96" s="285"/>
      <c r="R96" s="288">
        <f>H96/P96</f>
        <v>7.3797534516765281E-2</v>
      </c>
      <c r="S96" s="285"/>
      <c r="T96" s="289">
        <f>R96/F96</f>
        <v>3.9702156370803245E-2</v>
      </c>
      <c r="U96" s="285"/>
      <c r="V96" s="288">
        <f>R96-L96</f>
        <v>-2.4663912851655784E-2</v>
      </c>
      <c r="W96" s="158"/>
      <c r="X96" s="158"/>
      <c r="Y96" s="158"/>
    </row>
    <row r="97" spans="1:25">
      <c r="A97" s="176"/>
      <c r="B97" s="166" t="s">
        <v>482</v>
      </c>
      <c r="C97" s="176"/>
      <c r="D97" s="176" t="s">
        <v>484</v>
      </c>
      <c r="E97" s="176"/>
      <c r="F97" s="276">
        <f>SUM(F95:F96)</f>
        <v>16.700703999999998</v>
      </c>
      <c r="G97" s="176"/>
      <c r="H97" s="276">
        <f>SUM(H95:H96)</f>
        <v>13.847306</v>
      </c>
      <c r="I97" s="276"/>
      <c r="J97" s="275"/>
      <c r="K97" s="285"/>
      <c r="L97" s="276">
        <f>SUM(L95:L96)</f>
        <v>1.3902759444098411</v>
      </c>
      <c r="M97" s="285"/>
      <c r="N97" s="276"/>
      <c r="O97" s="285"/>
      <c r="P97" s="290"/>
      <c r="Q97" s="285"/>
      <c r="R97" s="276">
        <f>SUM(R95:R96)</f>
        <v>1.3656120315581852</v>
      </c>
      <c r="S97" s="285"/>
      <c r="T97" s="286">
        <f>R97/F97</f>
        <v>8.176972848319361E-2</v>
      </c>
      <c r="U97" s="285"/>
      <c r="V97" s="276">
        <f>SUM(V95:V96)</f>
        <v>-2.4663912851655784E-2</v>
      </c>
      <c r="W97" s="158"/>
      <c r="X97" s="158"/>
      <c r="Y97" s="158"/>
    </row>
    <row r="98" spans="1:25">
      <c r="A98" s="176"/>
      <c r="B98" s="166"/>
      <c r="C98" s="176"/>
      <c r="D98" s="176"/>
      <c r="E98" s="176"/>
      <c r="F98" s="176"/>
      <c r="G98" s="176"/>
      <c r="H98" s="276"/>
      <c r="I98" s="276"/>
      <c r="J98" s="276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158"/>
      <c r="X98" s="158"/>
      <c r="Y98" s="158"/>
    </row>
    <row r="99" spans="1:25">
      <c r="A99" s="176"/>
      <c r="B99" s="166" t="s">
        <v>508</v>
      </c>
      <c r="C99" s="176"/>
      <c r="D99" s="166" t="s">
        <v>476</v>
      </c>
      <c r="E99" s="176"/>
      <c r="F99" s="276">
        <v>10.218902999999999</v>
      </c>
      <c r="G99" s="176"/>
      <c r="H99" s="276">
        <v>8.7558860000000003</v>
      </c>
      <c r="I99" s="276"/>
      <c r="J99" s="275">
        <v>10.14</v>
      </c>
      <c r="K99" s="285"/>
      <c r="L99" s="285">
        <f>H99/J99</f>
        <v>0.86349960552268246</v>
      </c>
      <c r="M99" s="285"/>
      <c r="N99" s="286">
        <f>L99/F99</f>
        <v>8.4500225271018081E-2</v>
      </c>
      <c r="O99" s="285"/>
      <c r="P99" s="287">
        <f>J99</f>
        <v>10.14</v>
      </c>
      <c r="Q99" s="285"/>
      <c r="R99" s="285">
        <f>H99/P99</f>
        <v>0.86349960552268246</v>
      </c>
      <c r="S99" s="285"/>
      <c r="T99" s="286">
        <f>R99/F99</f>
        <v>8.4500225271018081E-2</v>
      </c>
      <c r="U99" s="285"/>
      <c r="V99" s="285">
        <f>R99-L99</f>
        <v>0</v>
      </c>
      <c r="W99" s="158"/>
      <c r="X99" s="158"/>
      <c r="Y99" s="158"/>
    </row>
    <row r="100" spans="1:25">
      <c r="A100" s="176"/>
      <c r="B100" s="166" t="s">
        <v>508</v>
      </c>
      <c r="C100" s="176"/>
      <c r="D100" s="166" t="s">
        <v>485</v>
      </c>
      <c r="E100" s="176"/>
      <c r="F100" s="279">
        <v>2.8070949999999999</v>
      </c>
      <c r="G100" s="176"/>
      <c r="H100" s="279">
        <v>0.78318500000000002</v>
      </c>
      <c r="I100" s="276"/>
      <c r="J100" s="280">
        <v>5.72</v>
      </c>
      <c r="K100" s="285"/>
      <c r="L100" s="288">
        <f>H100/J100</f>
        <v>0.13692045454545457</v>
      </c>
      <c r="M100" s="285"/>
      <c r="N100" s="286">
        <f>L100/F100</f>
        <v>4.8776566003450032E-2</v>
      </c>
      <c r="O100" s="285"/>
      <c r="P100" s="287">
        <f>J99</f>
        <v>10.14</v>
      </c>
      <c r="Q100" s="285"/>
      <c r="R100" s="288">
        <f>H100/P100</f>
        <v>7.723717948717948E-2</v>
      </c>
      <c r="S100" s="285"/>
      <c r="T100" s="289">
        <f>R100/F100</f>
        <v>2.7514985950664116E-2</v>
      </c>
      <c r="U100" s="285"/>
      <c r="V100" s="288">
        <f>R100-L100</f>
        <v>-5.9683275058275087E-2</v>
      </c>
      <c r="W100" s="158"/>
      <c r="X100" s="158"/>
      <c r="Y100" s="158"/>
    </row>
    <row r="101" spans="1:25">
      <c r="A101" s="176"/>
      <c r="B101" s="166" t="s">
        <v>482</v>
      </c>
      <c r="C101" s="176"/>
      <c r="D101" s="176" t="s">
        <v>484</v>
      </c>
      <c r="E101" s="176"/>
      <c r="F101" s="276">
        <f>SUM(F99:F100)</f>
        <v>13.025998</v>
      </c>
      <c r="G101" s="176"/>
      <c r="H101" s="276">
        <f>SUM(H99:H100)</f>
        <v>9.5390709999999999</v>
      </c>
      <c r="I101" s="276"/>
      <c r="J101" s="275"/>
      <c r="K101" s="285"/>
      <c r="L101" s="276">
        <f>SUM(L99:L100)</f>
        <v>1.000420060068137</v>
      </c>
      <c r="M101" s="285"/>
      <c r="N101" s="276"/>
      <c r="O101" s="285"/>
      <c r="P101" s="290"/>
      <c r="Q101" s="285"/>
      <c r="R101" s="276">
        <f>SUM(R99:R100)</f>
        <v>0.94073678500986191</v>
      </c>
      <c r="S101" s="285"/>
      <c r="T101" s="286">
        <f>R101/F101</f>
        <v>7.2219939309821943E-2</v>
      </c>
      <c r="U101" s="285"/>
      <c r="V101" s="276">
        <f>SUM(V99:V100)</f>
        <v>-5.9683275058275087E-2</v>
      </c>
      <c r="W101" s="158"/>
      <c r="X101" s="158"/>
      <c r="Y101" s="158"/>
    </row>
    <row r="102" spans="1:25">
      <c r="A102" s="176"/>
      <c r="B102" s="176"/>
      <c r="C102" s="176"/>
      <c r="D102" s="176"/>
      <c r="E102" s="176"/>
      <c r="F102" s="176"/>
      <c r="G102" s="176"/>
      <c r="H102" s="276"/>
      <c r="I102" s="276"/>
      <c r="J102" s="276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158"/>
      <c r="X102" s="158"/>
      <c r="Y102" s="158"/>
    </row>
    <row r="103" spans="1:25">
      <c r="A103" s="176"/>
      <c r="B103" s="166" t="s">
        <v>509</v>
      </c>
      <c r="C103" s="176"/>
      <c r="D103" s="166" t="s">
        <v>476</v>
      </c>
      <c r="E103" s="176"/>
      <c r="F103" s="276">
        <v>226.79734199999999</v>
      </c>
      <c r="G103" s="176"/>
      <c r="H103" s="276">
        <v>225.57506599999999</v>
      </c>
      <c r="I103" s="276"/>
      <c r="J103" s="275">
        <v>33.03</v>
      </c>
      <c r="K103" s="278"/>
      <c r="L103" s="278">
        <f>H103/J103</f>
        <v>6.8293995155918861</v>
      </c>
      <c r="M103" s="278"/>
      <c r="N103" s="283">
        <f>L103/F103</f>
        <v>3.011234371341039E-2</v>
      </c>
      <c r="O103" s="278"/>
      <c r="P103" s="277">
        <f>J103</f>
        <v>33.03</v>
      </c>
      <c r="Q103" s="278"/>
      <c r="R103" s="278">
        <f>H103/P103</f>
        <v>6.8293995155918861</v>
      </c>
      <c r="S103" s="278"/>
      <c r="T103" s="283">
        <f>R103/F103</f>
        <v>3.011234371341039E-2</v>
      </c>
      <c r="U103" s="278"/>
      <c r="V103" s="278">
        <f>R103-L103</f>
        <v>0</v>
      </c>
      <c r="W103" s="158"/>
      <c r="X103" s="158"/>
      <c r="Y103" s="158"/>
    </row>
    <row r="104" spans="1:25">
      <c r="A104" s="176"/>
      <c r="B104" s="166" t="s">
        <v>509</v>
      </c>
      <c r="C104" s="176"/>
      <c r="D104" s="166" t="s">
        <v>485</v>
      </c>
      <c r="E104" s="176"/>
      <c r="F104" s="279">
        <v>83.870827000000006</v>
      </c>
      <c r="G104" s="176"/>
      <c r="H104" s="279">
        <v>56.883479999999999</v>
      </c>
      <c r="I104" s="276"/>
      <c r="J104" s="280">
        <v>23.58</v>
      </c>
      <c r="K104" s="278"/>
      <c r="L104" s="281">
        <f>H104/J104</f>
        <v>2.4123613231552166</v>
      </c>
      <c r="M104" s="278"/>
      <c r="N104" s="283">
        <f>L104/F104</f>
        <v>2.8762817888456214E-2</v>
      </c>
      <c r="O104" s="278"/>
      <c r="P104" s="277">
        <f>J103</f>
        <v>33.03</v>
      </c>
      <c r="Q104" s="278"/>
      <c r="R104" s="281">
        <f>H104/P104</f>
        <v>1.7221762034514077</v>
      </c>
      <c r="S104" s="278"/>
      <c r="T104" s="284">
        <f>R104/F104</f>
        <v>2.0533673805927865E-2</v>
      </c>
      <c r="U104" s="278"/>
      <c r="V104" s="281">
        <f>R104-L104</f>
        <v>-0.69018511970380891</v>
      </c>
      <c r="W104" s="158"/>
      <c r="X104" s="158"/>
      <c r="Y104" s="158"/>
    </row>
    <row r="105" spans="1:25">
      <c r="A105" s="176"/>
      <c r="B105" s="166" t="s">
        <v>482</v>
      </c>
      <c r="C105" s="176"/>
      <c r="D105" s="176" t="s">
        <v>484</v>
      </c>
      <c r="E105" s="176"/>
      <c r="F105" s="276">
        <f>SUM(F103:F104)</f>
        <v>310.66816899999998</v>
      </c>
      <c r="G105" s="176"/>
      <c r="H105" s="276">
        <f>SUM(H103:H104)</f>
        <v>282.45854600000001</v>
      </c>
      <c r="I105" s="276"/>
      <c r="J105" s="275"/>
      <c r="K105" s="278"/>
      <c r="L105" s="276">
        <f>SUM(L103:L104)</f>
        <v>9.2417608387471031</v>
      </c>
      <c r="M105" s="278"/>
      <c r="N105" s="276"/>
      <c r="O105" s="278"/>
      <c r="P105" s="282"/>
      <c r="Q105" s="278"/>
      <c r="R105" s="276">
        <f>SUM(R103:R104)</f>
        <v>8.5515757190432939</v>
      </c>
      <c r="S105" s="278"/>
      <c r="T105" s="283">
        <f>R105/F105</f>
        <v>2.7526398171301852E-2</v>
      </c>
      <c r="U105" s="278"/>
      <c r="V105" s="276">
        <f>SUM(V103:V104)</f>
        <v>-0.69018511970380891</v>
      </c>
      <c r="W105" s="158"/>
      <c r="X105" s="158"/>
      <c r="Y105" s="158"/>
    </row>
    <row r="106" spans="1:25">
      <c r="A106" s="176"/>
      <c r="B106" s="166"/>
      <c r="C106" s="176"/>
      <c r="D106" s="176"/>
      <c r="E106" s="176"/>
      <c r="F106" s="276"/>
      <c r="G106" s="176"/>
      <c r="H106" s="276"/>
      <c r="I106" s="276"/>
      <c r="J106" s="275"/>
      <c r="K106" s="278"/>
      <c r="L106" s="276"/>
      <c r="M106" s="278"/>
      <c r="N106" s="276"/>
      <c r="O106" s="278"/>
      <c r="P106" s="282"/>
      <c r="Q106" s="278"/>
      <c r="R106" s="276"/>
      <c r="S106" s="278"/>
      <c r="T106" s="283"/>
      <c r="U106" s="278"/>
      <c r="V106" s="276"/>
      <c r="W106" s="158"/>
      <c r="X106" s="158"/>
      <c r="Y106" s="158"/>
    </row>
    <row r="107" spans="1:25">
      <c r="A107" s="176"/>
      <c r="B107" s="166"/>
      <c r="C107" s="176"/>
      <c r="D107" s="176"/>
      <c r="E107" s="176"/>
      <c r="F107" s="276"/>
      <c r="G107" s="176"/>
      <c r="H107" s="276"/>
      <c r="I107" s="276"/>
      <c r="J107" s="275"/>
      <c r="K107" s="278"/>
      <c r="L107" s="276"/>
      <c r="M107" s="278"/>
      <c r="N107" s="276"/>
      <c r="O107" s="278"/>
      <c r="P107" s="282"/>
      <c r="Q107" s="278"/>
      <c r="R107" s="276"/>
      <c r="S107" s="278"/>
      <c r="T107" s="283"/>
      <c r="U107" s="278"/>
      <c r="V107" s="276"/>
      <c r="W107" s="158"/>
      <c r="X107" s="158"/>
      <c r="Y107" s="158"/>
    </row>
    <row r="108" spans="1:25">
      <c r="A108" s="176"/>
      <c r="B108" s="176"/>
      <c r="C108" s="176"/>
      <c r="D108" s="176"/>
      <c r="E108" s="176"/>
      <c r="F108" s="176"/>
      <c r="G108" s="176"/>
      <c r="H108" s="276"/>
      <c r="I108" s="276"/>
      <c r="J108" s="276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158"/>
      <c r="X108" s="158"/>
      <c r="Y108" s="158"/>
    </row>
    <row r="109" spans="1:25">
      <c r="A109" s="176"/>
      <c r="B109" s="176"/>
      <c r="C109" s="176"/>
      <c r="D109" s="176"/>
      <c r="E109" s="176"/>
      <c r="F109" s="176"/>
      <c r="G109" s="176"/>
      <c r="H109" s="276"/>
      <c r="I109" s="276"/>
      <c r="J109" s="276"/>
      <c r="K109" s="278"/>
      <c r="L109" s="278"/>
      <c r="M109" s="278"/>
      <c r="N109" s="278"/>
      <c r="O109" s="278"/>
      <c r="P109" s="278" t="s">
        <v>510</v>
      </c>
      <c r="Q109" s="278"/>
      <c r="R109" s="278"/>
      <c r="S109" s="278"/>
      <c r="T109" s="278"/>
      <c r="U109" s="278"/>
      <c r="V109" s="278">
        <f>V105+V101+V97+V93+V89+V85+V81+V77+V73+V69+V65+V61+V57+V53+V49+V45+V41+V37+V33+V29+V25+V21+V17+V13</f>
        <v>-143.10789582018717</v>
      </c>
      <c r="W109" s="158"/>
      <c r="X109" s="158"/>
      <c r="Y109" s="158"/>
    </row>
    <row r="110" spans="1:25">
      <c r="A110" s="176"/>
      <c r="B110" s="176"/>
      <c r="C110" s="176"/>
      <c r="D110" s="176"/>
      <c r="E110" s="176"/>
      <c r="F110" s="176"/>
      <c r="G110" s="176"/>
      <c r="H110" s="276"/>
      <c r="I110" s="276"/>
      <c r="J110" s="276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158"/>
      <c r="X110" s="158"/>
      <c r="Y110" s="158"/>
    </row>
    <row r="111" spans="1:25">
      <c r="A111" s="176"/>
      <c r="B111" s="176"/>
      <c r="C111" s="176"/>
      <c r="D111" s="176"/>
      <c r="E111" s="176"/>
      <c r="F111" s="176"/>
      <c r="G111" s="176"/>
      <c r="H111" s="276"/>
      <c r="I111" s="276"/>
      <c r="J111" s="276"/>
      <c r="K111" s="278"/>
      <c r="L111" s="278"/>
      <c r="M111" s="278"/>
      <c r="N111" s="278"/>
      <c r="O111" s="278"/>
      <c r="P111" s="278" t="s">
        <v>511</v>
      </c>
      <c r="Q111" s="278"/>
      <c r="R111" s="278"/>
      <c r="S111" s="278"/>
      <c r="T111" s="278"/>
      <c r="U111" s="278"/>
      <c r="V111" s="293">
        <f>'Exh. LK-11 (Pages 1-3)'!R19</f>
        <v>0.95042000000000004</v>
      </c>
      <c r="W111" s="158"/>
      <c r="X111" s="158"/>
      <c r="Y111" s="158"/>
    </row>
    <row r="112" spans="1:25">
      <c r="A112" s="176"/>
      <c r="B112" s="176"/>
      <c r="C112" s="176"/>
      <c r="D112" s="176"/>
      <c r="E112" s="176"/>
      <c r="F112" s="176"/>
      <c r="G112" s="176"/>
      <c r="H112" s="276"/>
      <c r="I112" s="276"/>
      <c r="J112" s="276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158"/>
      <c r="X112" s="158"/>
      <c r="Y112" s="158"/>
    </row>
    <row r="113" spans="1:25" ht="13.5" thickBot="1">
      <c r="A113" s="176"/>
      <c r="B113" s="176"/>
      <c r="C113" s="176"/>
      <c r="D113" s="176"/>
      <c r="E113" s="176"/>
      <c r="F113" s="176"/>
      <c r="G113" s="176"/>
      <c r="H113" s="276"/>
      <c r="I113" s="276"/>
      <c r="J113" s="276"/>
      <c r="K113" s="278"/>
      <c r="L113" s="278"/>
      <c r="M113" s="278"/>
      <c r="N113" s="278"/>
      <c r="O113" s="278"/>
      <c r="P113" s="278" t="s">
        <v>416</v>
      </c>
      <c r="Q113" s="278"/>
      <c r="R113" s="278"/>
      <c r="S113" s="278"/>
      <c r="T113" s="278"/>
      <c r="U113" s="278"/>
      <c r="V113" s="294">
        <f>V109*V111</f>
        <v>-136.01260634542228</v>
      </c>
      <c r="W113" s="158"/>
      <c r="X113" s="158"/>
      <c r="Y113" s="158"/>
    </row>
    <row r="114" spans="1:25" ht="13.5" thickTop="1">
      <c r="A114" s="176"/>
      <c r="B114" s="176"/>
      <c r="C114" s="176"/>
      <c r="D114" s="176"/>
      <c r="E114" s="176"/>
      <c r="F114" s="176"/>
      <c r="G114" s="176"/>
      <c r="H114" s="276"/>
      <c r="I114" s="276"/>
      <c r="J114" s="276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158"/>
      <c r="X114" s="158"/>
      <c r="Y114" s="158"/>
    </row>
    <row r="115" spans="1:25">
      <c r="A115" s="29"/>
      <c r="B115" s="42"/>
      <c r="C115" s="42"/>
      <c r="D115" s="45"/>
      <c r="E115" s="45"/>
      <c r="F115" s="45"/>
      <c r="G115" s="45"/>
      <c r="H115" s="45"/>
      <c r="I115" s="42"/>
      <c r="J115" s="177"/>
      <c r="L115" s="29"/>
      <c r="P115" s="10"/>
    </row>
    <row r="116" spans="1:25">
      <c r="A116" s="29"/>
      <c r="B116" s="42"/>
      <c r="C116" s="42"/>
      <c r="D116" s="45"/>
      <c r="E116" s="45"/>
      <c r="F116" s="45"/>
      <c r="G116" s="45"/>
      <c r="H116" s="45"/>
      <c r="I116" s="42"/>
      <c r="J116" s="177"/>
      <c r="L116" s="29"/>
      <c r="N116" s="11">
        <v>2017</v>
      </c>
      <c r="P116" s="10"/>
      <c r="R116" s="193">
        <v>2018</v>
      </c>
    </row>
    <row r="117" spans="1:25">
      <c r="A117" s="29"/>
      <c r="B117" s="167" t="s">
        <v>424</v>
      </c>
      <c r="C117" s="42"/>
      <c r="D117" s="45"/>
      <c r="E117" s="45"/>
      <c r="F117" s="45"/>
      <c r="G117" s="45"/>
      <c r="H117" s="45"/>
      <c r="I117" s="42"/>
      <c r="J117" s="177"/>
      <c r="L117" s="29"/>
      <c r="N117" s="88">
        <f>-V113</f>
        <v>136.01260634542228</v>
      </c>
      <c r="P117" s="10"/>
      <c r="R117" s="45">
        <f>-V113</f>
        <v>136.01260634542228</v>
      </c>
    </row>
    <row r="118" spans="1:25">
      <c r="A118" s="29"/>
      <c r="B118" s="167" t="s">
        <v>468</v>
      </c>
      <c r="C118" s="42"/>
      <c r="D118" s="45"/>
      <c r="E118" s="45"/>
      <c r="F118" s="45"/>
      <c r="G118" s="45"/>
      <c r="H118" s="45"/>
      <c r="I118" s="42"/>
      <c r="J118" s="177"/>
      <c r="L118" s="29"/>
      <c r="N118" s="196">
        <f>-N117*0.38575</f>
        <v>-52.466862897746644</v>
      </c>
      <c r="P118" s="10"/>
      <c r="R118" s="198">
        <f>-R117*0.38575</f>
        <v>-52.466862897746644</v>
      </c>
    </row>
    <row r="119" spans="1:25">
      <c r="A119" s="29"/>
      <c r="B119" s="167" t="s">
        <v>426</v>
      </c>
      <c r="C119" s="42"/>
      <c r="D119" s="45"/>
      <c r="E119" s="45"/>
      <c r="F119" s="45"/>
      <c r="G119" s="45"/>
      <c r="H119" s="45"/>
      <c r="I119" s="42"/>
      <c r="J119" s="177"/>
      <c r="L119" s="29"/>
      <c r="N119" s="88">
        <f>SUM(N117:N118)</f>
        <v>83.545743447675648</v>
      </c>
      <c r="P119" s="10"/>
      <c r="R119" s="45">
        <f>SUM(R117:R118)</f>
        <v>83.545743447675648</v>
      </c>
    </row>
    <row r="120" spans="1:25">
      <c r="A120" s="29"/>
      <c r="B120" s="167"/>
      <c r="C120" s="42"/>
      <c r="D120" s="45"/>
      <c r="E120" s="45"/>
      <c r="F120" s="45"/>
      <c r="G120" s="45"/>
      <c r="H120" s="45"/>
      <c r="I120" s="42"/>
      <c r="J120" s="177"/>
      <c r="L120" s="29"/>
      <c r="N120" s="88"/>
      <c r="P120" s="10"/>
      <c r="R120" s="45"/>
    </row>
    <row r="121" spans="1:25">
      <c r="A121" s="29"/>
      <c r="B121" s="167" t="s">
        <v>425</v>
      </c>
      <c r="C121" s="42"/>
      <c r="D121" s="45"/>
      <c r="E121" s="45"/>
      <c r="F121" s="45"/>
      <c r="G121" s="45"/>
      <c r="H121" s="45"/>
      <c r="I121" s="42"/>
      <c r="J121" s="177"/>
      <c r="L121" s="29"/>
      <c r="N121" s="88">
        <f>N119/2</f>
        <v>41.772871723837824</v>
      </c>
      <c r="P121" s="10"/>
      <c r="R121" s="45">
        <f>N119+(R119/2)</f>
        <v>125.31861517151347</v>
      </c>
    </row>
    <row r="122" spans="1:25">
      <c r="A122" s="29"/>
      <c r="B122" s="167" t="s">
        <v>422</v>
      </c>
      <c r="C122" s="42"/>
      <c r="D122" s="45"/>
      <c r="E122" s="45"/>
      <c r="F122" s="45"/>
      <c r="G122" s="45"/>
      <c r="H122" s="259"/>
      <c r="I122" s="42"/>
      <c r="J122" s="177"/>
      <c r="L122" s="29"/>
      <c r="N122" s="295">
        <f>'Exh. LK-28'!J19</f>
        <v>9.8804316192411479E-2</v>
      </c>
      <c r="P122" s="10"/>
      <c r="R122" s="260">
        <f>'Exh. LK-29'!J19</f>
        <v>9.9784915778226832E-2</v>
      </c>
    </row>
    <row r="123" spans="1:25" ht="13.5" thickBot="1">
      <c r="A123" s="29"/>
      <c r="B123" s="167" t="s">
        <v>423</v>
      </c>
      <c r="C123" s="42"/>
      <c r="D123" s="45"/>
      <c r="E123" s="45"/>
      <c r="F123" s="45"/>
      <c r="G123" s="45"/>
      <c r="H123" s="45"/>
      <c r="I123" s="42"/>
      <c r="J123" s="177"/>
      <c r="L123" s="29"/>
      <c r="N123" s="296">
        <f>N121*N122</f>
        <v>4.1273400260671167</v>
      </c>
      <c r="P123" s="10"/>
      <c r="R123" s="261">
        <f>R121*R122</f>
        <v>12.504907460333492</v>
      </c>
    </row>
    <row r="124" spans="1:25" ht="13.5" thickTop="1">
      <c r="A124" s="29"/>
      <c r="B124" s="42"/>
      <c r="C124" s="42"/>
      <c r="D124" s="45"/>
      <c r="E124" s="45"/>
      <c r="F124" s="45"/>
      <c r="G124" s="45"/>
      <c r="H124" s="45"/>
      <c r="I124" s="42"/>
      <c r="J124" s="177"/>
      <c r="L124" s="29"/>
      <c r="N124" s="88"/>
      <c r="P124" s="10"/>
    </row>
    <row r="125" spans="1:25" ht="13.5" thickBot="1">
      <c r="A125" s="29"/>
      <c r="B125" s="170" t="s">
        <v>427</v>
      </c>
      <c r="C125" s="42"/>
      <c r="D125" s="45"/>
      <c r="E125" s="45"/>
      <c r="F125" s="45"/>
      <c r="G125" s="45"/>
      <c r="H125" s="45"/>
      <c r="I125" s="42"/>
      <c r="J125" s="177"/>
      <c r="L125" s="29"/>
      <c r="N125" s="197">
        <f>V113+N123</f>
        <v>-131.88526631935517</v>
      </c>
      <c r="P125" s="10"/>
      <c r="R125" s="209">
        <f>V113+R123</f>
        <v>-123.50769888508879</v>
      </c>
    </row>
    <row r="126" spans="1:25" ht="13.5" thickTop="1">
      <c r="A126" s="29"/>
      <c r="B126" s="42"/>
      <c r="C126" s="42"/>
      <c r="D126" s="45"/>
      <c r="E126" s="45"/>
      <c r="F126" s="45"/>
      <c r="G126" s="45"/>
      <c r="H126" s="45"/>
      <c r="I126" s="42"/>
      <c r="J126" s="42"/>
      <c r="L126" s="29"/>
      <c r="N126" s="88"/>
    </row>
    <row r="127" spans="1:25">
      <c r="B127" s="26"/>
      <c r="C127" s="26"/>
      <c r="D127" s="26"/>
      <c r="E127" s="26"/>
      <c r="F127" s="26"/>
      <c r="G127" s="26"/>
      <c r="H127" s="26"/>
      <c r="I127" s="26"/>
      <c r="J127" s="26"/>
      <c r="N127" s="88"/>
    </row>
    <row r="128" spans="1:25">
      <c r="B128" s="26"/>
      <c r="C128" s="26"/>
      <c r="D128" s="26"/>
      <c r="E128" s="26"/>
      <c r="F128" s="26"/>
      <c r="G128" s="26"/>
      <c r="H128" s="26"/>
      <c r="I128" s="26"/>
      <c r="J128" s="26"/>
    </row>
  </sheetData>
  <mergeCells count="5">
    <mergeCell ref="A1:V1"/>
    <mergeCell ref="A2:V2"/>
    <mergeCell ref="A3:V3"/>
    <mergeCell ref="A4:V4"/>
    <mergeCell ref="A5:V5"/>
  </mergeCells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tabSelected="1" view="pageLayout" zoomScaleNormal="100" zoomScaleSheetLayoutView="100" workbookViewId="0">
      <selection activeCell="G9" sqref="G9"/>
    </sheetView>
  </sheetViews>
  <sheetFormatPr defaultRowHeight="12.75"/>
  <cols>
    <col min="1" max="1" width="1.85546875" customWidth="1"/>
    <col min="2" max="2" width="19.28515625" customWidth="1"/>
    <col min="3" max="3" width="2.140625" customWidth="1"/>
    <col min="4" max="4" width="35.42578125" customWidth="1"/>
    <col min="5" max="5" width="2.140625" customWidth="1"/>
    <col min="6" max="6" width="9.85546875" customWidth="1"/>
    <col min="7" max="7" width="2.140625" customWidth="1"/>
    <col min="8" max="8" width="12.7109375" customWidth="1"/>
    <col min="9" max="9" width="2.140625" customWidth="1"/>
    <col min="10" max="10" width="10.42578125" customWidth="1"/>
    <col min="11" max="11" width="2.140625" customWidth="1"/>
    <col min="12" max="12" width="8.28515625" customWidth="1"/>
    <col min="13" max="13" width="2.28515625" customWidth="1"/>
    <col min="14" max="14" width="10.140625" customWidth="1"/>
    <col min="15" max="15" width="2.140625" customWidth="1"/>
    <col min="16" max="16" width="10.140625" customWidth="1"/>
    <col min="17" max="17" width="2.140625" customWidth="1"/>
    <col min="18" max="18" width="8.7109375" customWidth="1"/>
    <col min="19" max="19" width="2.140625" customWidth="1"/>
    <col min="20" max="20" width="8.5703125" customWidth="1"/>
    <col min="21" max="21" width="2.140625" customWidth="1"/>
    <col min="22" max="22" width="8.85546875" customWidth="1"/>
    <col min="23" max="23" width="2.140625" customWidth="1"/>
    <col min="24" max="24" width="10.5703125" customWidth="1"/>
  </cols>
  <sheetData>
    <row r="1" spans="1:27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</row>
    <row r="2" spans="1:27">
      <c r="A2" s="375" t="s">
        <v>514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</row>
    <row r="3" spans="1:27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</row>
    <row r="4" spans="1:27">
      <c r="A4" s="375" t="s">
        <v>373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</row>
    <row r="5" spans="1:27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</row>
    <row r="6" spans="1:27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</row>
    <row r="7" spans="1:27">
      <c r="A7" s="166" t="s">
        <v>473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 t="s">
        <v>481</v>
      </c>
      <c r="O7" s="176"/>
      <c r="P7" s="176" t="s">
        <v>512</v>
      </c>
      <c r="Q7" s="176"/>
      <c r="R7" s="176"/>
      <c r="S7" s="176"/>
      <c r="T7" s="176"/>
      <c r="U7" s="176"/>
      <c r="V7" s="176" t="s">
        <v>300</v>
      </c>
      <c r="W7" s="176"/>
      <c r="X7" s="176" t="s">
        <v>300</v>
      </c>
      <c r="Y7" s="158"/>
      <c r="Z7" s="158"/>
      <c r="AA7" s="158"/>
    </row>
    <row r="8" spans="1:27">
      <c r="A8" s="16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55" t="s">
        <v>479</v>
      </c>
      <c r="O8" s="176"/>
      <c r="P8" s="155" t="s">
        <v>302</v>
      </c>
      <c r="Q8" s="176"/>
      <c r="R8" s="176" t="s">
        <v>300</v>
      </c>
      <c r="S8" s="176"/>
      <c r="T8" s="155"/>
      <c r="U8" s="176"/>
      <c r="V8" s="155" t="s">
        <v>479</v>
      </c>
      <c r="W8" s="176"/>
      <c r="X8" s="176" t="s">
        <v>479</v>
      </c>
      <c r="Y8" s="158"/>
      <c r="Z8" s="158"/>
      <c r="AA8" s="158"/>
    </row>
    <row r="9" spans="1:27">
      <c r="A9" s="166"/>
      <c r="B9" s="176"/>
      <c r="C9" s="176"/>
      <c r="D9" s="176"/>
      <c r="E9" s="176"/>
      <c r="F9" s="176" t="s">
        <v>478</v>
      </c>
      <c r="G9" s="176"/>
      <c r="H9" s="176" t="s">
        <v>486</v>
      </c>
      <c r="I9" s="176"/>
      <c r="J9" s="176"/>
      <c r="K9" s="176"/>
      <c r="L9" s="176" t="s">
        <v>477</v>
      </c>
      <c r="M9" s="176"/>
      <c r="N9" s="155" t="s">
        <v>480</v>
      </c>
      <c r="O9" s="176"/>
      <c r="P9" s="155" t="s">
        <v>513</v>
      </c>
      <c r="Q9" s="176"/>
      <c r="R9" s="176" t="s">
        <v>486</v>
      </c>
      <c r="S9" s="176"/>
      <c r="T9" s="176" t="s">
        <v>300</v>
      </c>
      <c r="U9" s="176"/>
      <c r="V9" s="155" t="s">
        <v>480</v>
      </c>
      <c r="W9" s="176"/>
      <c r="X9" s="176" t="s">
        <v>480</v>
      </c>
      <c r="Y9" s="158"/>
      <c r="Z9" s="158"/>
      <c r="AA9" s="158"/>
    </row>
    <row r="10" spans="1:27">
      <c r="A10" s="176"/>
      <c r="B10" s="176"/>
      <c r="C10" s="176"/>
      <c r="D10" s="169" t="s">
        <v>483</v>
      </c>
      <c r="E10" s="176"/>
      <c r="F10" s="169" t="s">
        <v>5</v>
      </c>
      <c r="G10" s="176"/>
      <c r="H10" s="169" t="s">
        <v>480</v>
      </c>
      <c r="I10" s="176"/>
      <c r="J10" s="169" t="s">
        <v>487</v>
      </c>
      <c r="K10" s="176"/>
      <c r="L10" s="169" t="s">
        <v>311</v>
      </c>
      <c r="M10" s="158"/>
      <c r="N10" s="190" t="s">
        <v>475</v>
      </c>
      <c r="O10" s="158"/>
      <c r="P10" s="190" t="s">
        <v>24</v>
      </c>
      <c r="Q10" s="158"/>
      <c r="R10" s="169" t="s">
        <v>480</v>
      </c>
      <c r="S10" s="158"/>
      <c r="T10" s="190" t="s">
        <v>487</v>
      </c>
      <c r="U10" s="158"/>
      <c r="V10" s="190" t="s">
        <v>475</v>
      </c>
      <c r="W10" s="158"/>
      <c r="X10" s="169" t="s">
        <v>301</v>
      </c>
      <c r="Y10" s="158"/>
      <c r="Z10" s="158"/>
      <c r="AA10" s="158"/>
    </row>
    <row r="11" spans="1:27">
      <c r="A11" s="176"/>
      <c r="B11" s="166" t="s">
        <v>470</v>
      </c>
      <c r="C11" s="176"/>
      <c r="D11" s="166" t="s">
        <v>476</v>
      </c>
      <c r="E11" s="176"/>
      <c r="F11" s="276">
        <v>29.161926000000001</v>
      </c>
      <c r="G11" s="176"/>
      <c r="H11" s="276">
        <v>7.7326180000000004</v>
      </c>
      <c r="I11" s="276"/>
      <c r="J11" s="276">
        <f>F11-H11</f>
        <v>21.429307999999999</v>
      </c>
      <c r="K11" s="276"/>
      <c r="L11" s="275">
        <v>14.72</v>
      </c>
      <c r="M11" s="285"/>
      <c r="N11" s="285">
        <f>J11/L11</f>
        <v>1.4557953804347825</v>
      </c>
      <c r="O11" s="285"/>
      <c r="P11" s="286">
        <f>F11/F13</f>
        <v>0.43703884375791713</v>
      </c>
      <c r="Q11" s="285"/>
      <c r="R11" s="285">
        <f>H13*P11</f>
        <v>7.2503271358534995</v>
      </c>
      <c r="S11" s="285"/>
      <c r="T11" s="285">
        <f>F11-R11</f>
        <v>21.911598864146502</v>
      </c>
      <c r="U11" s="285"/>
      <c r="V11" s="285">
        <f>T11/L11</f>
        <v>1.488559705444735</v>
      </c>
      <c r="W11" s="285"/>
      <c r="X11" s="285">
        <f>V11-N11</f>
        <v>3.2764325009952522E-2</v>
      </c>
      <c r="Y11" s="158"/>
      <c r="Z11" s="158"/>
      <c r="AA11" s="158"/>
    </row>
    <row r="12" spans="1:27">
      <c r="A12" s="176"/>
      <c r="B12" s="166" t="s">
        <v>470</v>
      </c>
      <c r="C12" s="176"/>
      <c r="D12" s="166" t="s">
        <v>485</v>
      </c>
      <c r="E12" s="176"/>
      <c r="F12" s="279">
        <v>37.564239000000001</v>
      </c>
      <c r="G12" s="176"/>
      <c r="H12" s="279">
        <v>8.8570449999999994</v>
      </c>
      <c r="I12" s="276"/>
      <c r="J12" s="279">
        <f>F12-H12</f>
        <v>28.707194000000001</v>
      </c>
      <c r="K12" s="276"/>
      <c r="L12" s="280">
        <v>6.67</v>
      </c>
      <c r="M12" s="285"/>
      <c r="N12" s="288">
        <f>J12/L12</f>
        <v>4.3039271364317839</v>
      </c>
      <c r="O12" s="285"/>
      <c r="P12" s="289">
        <f>F12/F13</f>
        <v>0.56296115624208276</v>
      </c>
      <c r="Q12" s="285"/>
      <c r="R12" s="285">
        <f>H13*P12</f>
        <v>9.3393358641465003</v>
      </c>
      <c r="S12" s="285"/>
      <c r="T12" s="288">
        <f>F12-R12</f>
        <v>28.224903135853502</v>
      </c>
      <c r="U12" s="285"/>
      <c r="V12" s="288">
        <f>T12/L12</f>
        <v>4.2316196605477518</v>
      </c>
      <c r="W12" s="285"/>
      <c r="X12" s="288">
        <f>V12-N12</f>
        <v>-7.230747588403208E-2</v>
      </c>
      <c r="Y12" s="158"/>
      <c r="Z12" s="158"/>
      <c r="AA12" s="158"/>
    </row>
    <row r="13" spans="1:27">
      <c r="A13" s="176"/>
      <c r="B13" s="166" t="s">
        <v>482</v>
      </c>
      <c r="C13" s="176"/>
      <c r="D13" s="176" t="s">
        <v>484</v>
      </c>
      <c r="E13" s="176"/>
      <c r="F13" s="276">
        <f>SUM(F11:F12)</f>
        <v>66.726165000000009</v>
      </c>
      <c r="G13" s="176"/>
      <c r="H13" s="276">
        <f>SUM(H11:H12)</f>
        <v>16.589663000000002</v>
      </c>
      <c r="I13" s="276"/>
      <c r="J13" s="276">
        <f>SUM(J11:J12)</f>
        <v>50.136502</v>
      </c>
      <c r="K13" s="276"/>
      <c r="L13" s="275"/>
      <c r="M13" s="285"/>
      <c r="N13" s="276">
        <f>SUM(N11:N12)</f>
        <v>5.7597225168665664</v>
      </c>
      <c r="O13" s="285"/>
      <c r="P13" s="297">
        <f>SUM(P11:P12)</f>
        <v>0.99999999999999989</v>
      </c>
      <c r="Q13" s="285"/>
      <c r="R13" s="290"/>
      <c r="S13" s="285"/>
      <c r="T13" s="276">
        <f>SUM(T11:T12)</f>
        <v>50.136502000000007</v>
      </c>
      <c r="U13" s="285"/>
      <c r="V13" s="298">
        <f>SUM(V11:V12)</f>
        <v>5.7201793659924869</v>
      </c>
      <c r="W13" s="285"/>
      <c r="X13" s="276">
        <f>SUM(X11:X12)</f>
        <v>-3.9543150874079558E-2</v>
      </c>
      <c r="Y13" s="158"/>
      <c r="Z13" s="367"/>
      <c r="AA13" s="158"/>
    </row>
    <row r="14" spans="1:27">
      <c r="A14" s="176"/>
      <c r="B14" s="166"/>
      <c r="C14" s="176"/>
      <c r="D14" s="176"/>
      <c r="E14" s="176"/>
      <c r="F14" s="276"/>
      <c r="G14" s="176"/>
      <c r="H14" s="276"/>
      <c r="I14" s="276"/>
      <c r="J14" s="276"/>
      <c r="K14" s="276"/>
      <c r="L14" s="275"/>
      <c r="M14" s="285"/>
      <c r="N14" s="291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158"/>
      <c r="Z14" s="158"/>
      <c r="AA14" s="158"/>
    </row>
    <row r="15" spans="1:27">
      <c r="A15" s="176"/>
      <c r="B15" s="166" t="s">
        <v>471</v>
      </c>
      <c r="C15" s="176"/>
      <c r="D15" s="166" t="s">
        <v>476</v>
      </c>
      <c r="E15" s="176"/>
      <c r="F15" s="276">
        <v>130.963584</v>
      </c>
      <c r="G15" s="176"/>
      <c r="H15" s="276">
        <v>56.698998000000003</v>
      </c>
      <c r="I15" s="276"/>
      <c r="J15" s="276">
        <f>F15-H15</f>
        <v>74.264585999999994</v>
      </c>
      <c r="K15" s="276"/>
      <c r="L15" s="275">
        <v>14.36</v>
      </c>
      <c r="M15" s="285"/>
      <c r="N15" s="285">
        <f>J15/L15</f>
        <v>5.1716285515320335</v>
      </c>
      <c r="O15" s="285"/>
      <c r="P15" s="286">
        <f>F15/F17</f>
        <v>0.70614602576164365</v>
      </c>
      <c r="Q15" s="285"/>
      <c r="R15" s="285">
        <f>H17*P15</f>
        <v>47.592810778340571</v>
      </c>
      <c r="S15" s="285"/>
      <c r="T15" s="285">
        <f>F15-R15</f>
        <v>83.37077322165942</v>
      </c>
      <c r="U15" s="285"/>
      <c r="V15" s="285">
        <f>T15/L15</f>
        <v>5.8057641519261436</v>
      </c>
      <c r="W15" s="285"/>
      <c r="X15" s="285">
        <f>V15-N15</f>
        <v>0.6341356003941101</v>
      </c>
      <c r="Y15" s="158"/>
      <c r="Z15" s="158"/>
      <c r="AA15" s="158"/>
    </row>
    <row r="16" spans="1:27">
      <c r="A16" s="176"/>
      <c r="B16" s="166" t="s">
        <v>471</v>
      </c>
      <c r="C16" s="176"/>
      <c r="D16" s="166" t="s">
        <v>485</v>
      </c>
      <c r="E16" s="176"/>
      <c r="F16" s="279">
        <v>54.498882999999999</v>
      </c>
      <c r="G16" s="176"/>
      <c r="H16" s="279">
        <v>10.698975000000001</v>
      </c>
      <c r="I16" s="276"/>
      <c r="J16" s="279">
        <f>F16-H16</f>
        <v>43.799908000000002</v>
      </c>
      <c r="K16" s="276"/>
      <c r="L16" s="280">
        <v>6.41</v>
      </c>
      <c r="M16" s="285"/>
      <c r="N16" s="288">
        <f>J16/L16</f>
        <v>6.8330589703588149</v>
      </c>
      <c r="O16" s="285"/>
      <c r="P16" s="289">
        <f>F16/F17</f>
        <v>0.29385397423835624</v>
      </c>
      <c r="Q16" s="285"/>
      <c r="R16" s="285">
        <f>H17*P16</f>
        <v>19.805162221659433</v>
      </c>
      <c r="S16" s="285"/>
      <c r="T16" s="288">
        <f>F16-R16</f>
        <v>34.693720778340563</v>
      </c>
      <c r="U16" s="285"/>
      <c r="V16" s="288">
        <f>T16/L16</f>
        <v>5.4124369388986837</v>
      </c>
      <c r="W16" s="285"/>
      <c r="X16" s="288">
        <f>V16-N16</f>
        <v>-1.4206220314601312</v>
      </c>
      <c r="Y16" s="158"/>
      <c r="Z16" s="158"/>
      <c r="AA16" s="158"/>
    </row>
    <row r="17" spans="1:27">
      <c r="A17" s="176"/>
      <c r="B17" s="166" t="s">
        <v>482</v>
      </c>
      <c r="C17" s="176"/>
      <c r="D17" s="176" t="s">
        <v>484</v>
      </c>
      <c r="E17" s="176"/>
      <c r="F17" s="276">
        <f>SUM(F15:F16)</f>
        <v>185.462467</v>
      </c>
      <c r="G17" s="176"/>
      <c r="H17" s="276">
        <f>SUM(H15:H16)</f>
        <v>67.397973000000007</v>
      </c>
      <c r="I17" s="276"/>
      <c r="J17" s="276">
        <f>SUM(J15:J16)</f>
        <v>118.064494</v>
      </c>
      <c r="K17" s="276"/>
      <c r="L17" s="275"/>
      <c r="M17" s="285"/>
      <c r="N17" s="276">
        <f>SUM(N15:N16)</f>
        <v>12.004687521890848</v>
      </c>
      <c r="O17" s="285"/>
      <c r="P17" s="297">
        <f>SUM(P15:P16)</f>
        <v>0.99999999999999989</v>
      </c>
      <c r="Q17" s="285"/>
      <c r="R17" s="290"/>
      <c r="S17" s="285"/>
      <c r="T17" s="276">
        <f>SUM(T15:T16)</f>
        <v>118.06449399999998</v>
      </c>
      <c r="U17" s="285"/>
      <c r="V17" s="298">
        <f>SUM(V15:V16)</f>
        <v>11.218201090824827</v>
      </c>
      <c r="W17" s="285"/>
      <c r="X17" s="276">
        <f>SUM(X15:X16)</f>
        <v>-0.78648643106602112</v>
      </c>
      <c r="Y17" s="158"/>
      <c r="Z17" s="367"/>
      <c r="AA17" s="158"/>
    </row>
    <row r="18" spans="1:27">
      <c r="A18" s="176"/>
      <c r="B18" s="166"/>
      <c r="C18" s="176"/>
      <c r="D18" s="176"/>
      <c r="E18" s="176"/>
      <c r="F18" s="176"/>
      <c r="G18" s="176"/>
      <c r="H18" s="276"/>
      <c r="I18" s="276"/>
      <c r="J18" s="276"/>
      <c r="K18" s="276"/>
      <c r="L18" s="276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158"/>
      <c r="Z18" s="158"/>
      <c r="AA18" s="158"/>
    </row>
    <row r="19" spans="1:27">
      <c r="A19" s="176"/>
      <c r="B19" s="166" t="s">
        <v>472</v>
      </c>
      <c r="C19" s="176"/>
      <c r="D19" s="166" t="s">
        <v>476</v>
      </c>
      <c r="E19" s="176"/>
      <c r="F19" s="276">
        <v>130.296359</v>
      </c>
      <c r="G19" s="176"/>
      <c r="H19" s="276">
        <v>36.892592</v>
      </c>
      <c r="I19" s="276"/>
      <c r="J19" s="276">
        <f>F19-H19</f>
        <v>93.403766999999988</v>
      </c>
      <c r="K19" s="276"/>
      <c r="L19" s="275">
        <v>14.37</v>
      </c>
      <c r="M19" s="285"/>
      <c r="N19" s="285">
        <f>J19/L19</f>
        <v>6.4999141962421705</v>
      </c>
      <c r="O19" s="285"/>
      <c r="P19" s="286">
        <f>F19/F21</f>
        <v>0.84214929175042852</v>
      </c>
      <c r="Q19" s="285"/>
      <c r="R19" s="285">
        <f>H21*P19</f>
        <v>32.792875714712977</v>
      </c>
      <c r="S19" s="285"/>
      <c r="T19" s="285">
        <f>F19-R19</f>
        <v>97.503483285287018</v>
      </c>
      <c r="U19" s="285"/>
      <c r="V19" s="285">
        <f>T19/L19</f>
        <v>6.785211084571122</v>
      </c>
      <c r="W19" s="285"/>
      <c r="X19" s="285">
        <f>V19-N19</f>
        <v>0.2852968883289515</v>
      </c>
      <c r="Y19" s="158"/>
      <c r="Z19" s="158"/>
      <c r="AA19" s="158"/>
    </row>
    <row r="20" spans="1:27">
      <c r="A20" s="176"/>
      <c r="B20" s="166" t="s">
        <v>472</v>
      </c>
      <c r="C20" s="176"/>
      <c r="D20" s="166" t="s">
        <v>485</v>
      </c>
      <c r="E20" s="176"/>
      <c r="F20" s="279">
        <v>24.422478000000002</v>
      </c>
      <c r="G20" s="176"/>
      <c r="H20" s="279">
        <v>2.0469119999999998</v>
      </c>
      <c r="I20" s="276"/>
      <c r="J20" s="279">
        <f>F20-H20</f>
        <v>22.375566000000003</v>
      </c>
      <c r="K20" s="276"/>
      <c r="L20" s="280">
        <v>6.92</v>
      </c>
      <c r="M20" s="285"/>
      <c r="N20" s="288">
        <f>J20/L20</f>
        <v>3.2334632947976885</v>
      </c>
      <c r="O20" s="285"/>
      <c r="P20" s="289">
        <f>F20/F21</f>
        <v>0.15785070824957145</v>
      </c>
      <c r="Q20" s="285"/>
      <c r="R20" s="285">
        <f>H21*P20</f>
        <v>6.1466282852870204</v>
      </c>
      <c r="S20" s="285"/>
      <c r="T20" s="288">
        <f>F20-R20</f>
        <v>18.275849714712983</v>
      </c>
      <c r="U20" s="285"/>
      <c r="V20" s="288">
        <f>T20/L20</f>
        <v>2.6410187449007201</v>
      </c>
      <c r="W20" s="285"/>
      <c r="X20" s="288">
        <f>V20-N20</f>
        <v>-0.59244454989696838</v>
      </c>
      <c r="Y20" s="158"/>
      <c r="Z20" s="158"/>
      <c r="AA20" s="158"/>
    </row>
    <row r="21" spans="1:27">
      <c r="A21" s="176"/>
      <c r="B21" s="166" t="s">
        <v>482</v>
      </c>
      <c r="C21" s="176"/>
      <c r="D21" s="176" t="s">
        <v>484</v>
      </c>
      <c r="E21" s="176"/>
      <c r="F21" s="276">
        <f>SUM(F19:F20)</f>
        <v>154.71883700000001</v>
      </c>
      <c r="G21" s="176"/>
      <c r="H21" s="276">
        <f>SUM(H19:H20)</f>
        <v>38.939503999999999</v>
      </c>
      <c r="I21" s="276"/>
      <c r="J21" s="276">
        <f>SUM(J19:J20)</f>
        <v>115.77933299999999</v>
      </c>
      <c r="K21" s="276"/>
      <c r="L21" s="275"/>
      <c r="M21" s="285"/>
      <c r="N21" s="276">
        <f>SUM(N19:N20)</f>
        <v>9.7333774910398585</v>
      </c>
      <c r="O21" s="285"/>
      <c r="P21" s="297">
        <f>SUM(P19:P20)</f>
        <v>1</v>
      </c>
      <c r="Q21" s="285"/>
      <c r="R21" s="290"/>
      <c r="S21" s="285"/>
      <c r="T21" s="276">
        <f>SUM(T19:T20)</f>
        <v>115.77933300000001</v>
      </c>
      <c r="U21" s="285"/>
      <c r="V21" s="298">
        <f>SUM(V19:V20)</f>
        <v>9.4262298294718416</v>
      </c>
      <c r="W21" s="285"/>
      <c r="X21" s="276">
        <f>SUM(X19:X20)</f>
        <v>-0.30714766156801687</v>
      </c>
      <c r="Y21" s="158"/>
      <c r="Z21" s="367"/>
      <c r="AA21" s="158"/>
    </row>
    <row r="22" spans="1:27">
      <c r="A22" s="176"/>
      <c r="B22" s="176"/>
      <c r="C22" s="176"/>
      <c r="D22" s="176"/>
      <c r="E22" s="176"/>
      <c r="F22" s="176"/>
      <c r="G22" s="176"/>
      <c r="H22" s="276"/>
      <c r="I22" s="276"/>
      <c r="J22" s="276"/>
      <c r="K22" s="276"/>
      <c r="L22" s="276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158"/>
      <c r="Z22" s="158"/>
      <c r="AA22" s="158"/>
    </row>
    <row r="23" spans="1:27">
      <c r="A23" s="176"/>
      <c r="B23" s="166" t="s">
        <v>488</v>
      </c>
      <c r="C23" s="176"/>
      <c r="D23" s="166" t="s">
        <v>476</v>
      </c>
      <c r="E23" s="176"/>
      <c r="F23" s="276">
        <v>3.9662350000000002</v>
      </c>
      <c r="G23" s="176"/>
      <c r="H23" s="276">
        <v>1.2072020000000001</v>
      </c>
      <c r="I23" s="276"/>
      <c r="J23" s="276">
        <f>F23-H23</f>
        <v>2.7590330000000001</v>
      </c>
      <c r="K23" s="276"/>
      <c r="L23" s="275">
        <v>23.12</v>
      </c>
      <c r="M23" s="285"/>
      <c r="N23" s="285">
        <f>J23/L23</f>
        <v>0.11933533737024221</v>
      </c>
      <c r="O23" s="285"/>
      <c r="P23" s="286">
        <f>F23/F25</f>
        <v>0.89981945690968679</v>
      </c>
      <c r="Q23" s="285"/>
      <c r="R23" s="285">
        <f>H25*P23</f>
        <v>1.2956545351015425</v>
      </c>
      <c r="S23" s="285"/>
      <c r="T23" s="285">
        <f>F23-R23</f>
        <v>2.6705804648984577</v>
      </c>
      <c r="U23" s="285"/>
      <c r="V23" s="285">
        <f>T23/L23</f>
        <v>0.11550953567899903</v>
      </c>
      <c r="W23" s="285"/>
      <c r="X23" s="285">
        <f>V23-N23</f>
        <v>-3.8258016912431775E-3</v>
      </c>
      <c r="Y23" s="158"/>
      <c r="Z23" s="158"/>
      <c r="AA23" s="158"/>
    </row>
    <row r="24" spans="1:27">
      <c r="A24" s="176"/>
      <c r="B24" s="166" t="s">
        <v>488</v>
      </c>
      <c r="C24" s="176"/>
      <c r="D24" s="166" t="s">
        <v>485</v>
      </c>
      <c r="E24" s="176"/>
      <c r="F24" s="279">
        <v>0.441577</v>
      </c>
      <c r="G24" s="176"/>
      <c r="H24" s="279">
        <v>0.23270299999999999</v>
      </c>
      <c r="I24" s="276"/>
      <c r="J24" s="279">
        <f>F24-H24</f>
        <v>0.208874</v>
      </c>
      <c r="K24" s="276"/>
      <c r="L24" s="280">
        <v>5.5</v>
      </c>
      <c r="M24" s="285"/>
      <c r="N24" s="288">
        <f>J24/L24</f>
        <v>3.7977090909090912E-2</v>
      </c>
      <c r="O24" s="285"/>
      <c r="P24" s="289">
        <f>F24/F25</f>
        <v>0.1001805430903133</v>
      </c>
      <c r="Q24" s="285"/>
      <c r="R24" s="285">
        <f>H25*P24</f>
        <v>0.14425046489845755</v>
      </c>
      <c r="S24" s="285"/>
      <c r="T24" s="288">
        <f>F24-R24</f>
        <v>0.29732653510154244</v>
      </c>
      <c r="U24" s="285"/>
      <c r="V24" s="288">
        <f>T24/L24</f>
        <v>5.4059370018462262E-2</v>
      </c>
      <c r="W24" s="285"/>
      <c r="X24" s="288">
        <f>V24-N24</f>
        <v>1.608227910937135E-2</v>
      </c>
      <c r="Y24" s="158"/>
      <c r="Z24" s="158"/>
      <c r="AA24" s="158"/>
    </row>
    <row r="25" spans="1:27">
      <c r="A25" s="176"/>
      <c r="B25" s="166" t="s">
        <v>482</v>
      </c>
      <c r="C25" s="176"/>
      <c r="D25" s="176" t="s">
        <v>484</v>
      </c>
      <c r="E25" s="176"/>
      <c r="F25" s="276">
        <f>SUM(F23:F24)</f>
        <v>4.4078119999999998</v>
      </c>
      <c r="G25" s="176"/>
      <c r="H25" s="276">
        <f>SUM(H23:H24)</f>
        <v>1.439905</v>
      </c>
      <c r="I25" s="276"/>
      <c r="J25" s="276">
        <f>SUM(J23:J24)</f>
        <v>2.9679070000000003</v>
      </c>
      <c r="K25" s="276"/>
      <c r="L25" s="275"/>
      <c r="M25" s="285"/>
      <c r="N25" s="276">
        <f>SUM(N23:N24)</f>
        <v>0.15731242827933312</v>
      </c>
      <c r="O25" s="285"/>
      <c r="P25" s="297">
        <f>SUM(P23:P24)</f>
        <v>1</v>
      </c>
      <c r="Q25" s="285"/>
      <c r="R25" s="290"/>
      <c r="S25" s="285"/>
      <c r="T25" s="276">
        <f>SUM(T23:T24)</f>
        <v>2.9679070000000003</v>
      </c>
      <c r="U25" s="285"/>
      <c r="V25" s="298">
        <f>SUM(V23:V24)</f>
        <v>0.1695689056974613</v>
      </c>
      <c r="W25" s="285"/>
      <c r="X25" s="276">
        <f>SUM(X23:X24)</f>
        <v>1.2256477418128173E-2</v>
      </c>
      <c r="Y25" s="158"/>
      <c r="Z25" s="367"/>
      <c r="AA25" s="158"/>
    </row>
    <row r="26" spans="1:27">
      <c r="A26" s="176"/>
      <c r="B26" s="166"/>
      <c r="C26" s="176"/>
      <c r="D26" s="176"/>
      <c r="E26" s="176"/>
      <c r="F26" s="276"/>
      <c r="G26" s="176"/>
      <c r="H26" s="276"/>
      <c r="I26" s="276"/>
      <c r="J26" s="276"/>
      <c r="K26" s="276"/>
      <c r="L26" s="275"/>
      <c r="M26" s="285"/>
      <c r="N26" s="291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158"/>
      <c r="Z26" s="158"/>
      <c r="AA26" s="158"/>
    </row>
    <row r="27" spans="1:27">
      <c r="A27" s="176"/>
      <c r="B27" s="166" t="s">
        <v>489</v>
      </c>
      <c r="C27" s="176"/>
      <c r="D27" s="166" t="s">
        <v>476</v>
      </c>
      <c r="E27" s="176"/>
      <c r="F27" s="276">
        <v>408.86498599999999</v>
      </c>
      <c r="G27" s="176"/>
      <c r="H27" s="276">
        <v>89.323988</v>
      </c>
      <c r="I27" s="276"/>
      <c r="J27" s="276">
        <f>F27-H27</f>
        <v>319.540998</v>
      </c>
      <c r="K27" s="276"/>
      <c r="L27" s="275">
        <v>22.81</v>
      </c>
      <c r="M27" s="285"/>
      <c r="N27" s="285">
        <f>J27/L27</f>
        <v>14.008811836913635</v>
      </c>
      <c r="O27" s="285"/>
      <c r="P27" s="286">
        <f>F27/F29</f>
        <v>0.57965502394993318</v>
      </c>
      <c r="Q27" s="285"/>
      <c r="R27" s="285">
        <f>H29*P27</f>
        <v>77.795772622526755</v>
      </c>
      <c r="S27" s="285"/>
      <c r="T27" s="285">
        <f>F27-R27</f>
        <v>331.06921337747326</v>
      </c>
      <c r="U27" s="285"/>
      <c r="V27" s="285">
        <f>T27/L27</f>
        <v>14.514213650919478</v>
      </c>
      <c r="W27" s="285"/>
      <c r="X27" s="285">
        <f>V27-N27</f>
        <v>0.50540181400584316</v>
      </c>
      <c r="Y27" s="158"/>
      <c r="Z27" s="158"/>
      <c r="AA27" s="158"/>
    </row>
    <row r="28" spans="1:27">
      <c r="A28" s="176"/>
      <c r="B28" s="166" t="s">
        <v>489</v>
      </c>
      <c r="C28" s="176"/>
      <c r="D28" s="166" t="s">
        <v>485</v>
      </c>
      <c r="E28" s="176"/>
      <c r="F28" s="279">
        <v>296.49418300000002</v>
      </c>
      <c r="G28" s="176"/>
      <c r="H28" s="279">
        <v>44.886481000000003</v>
      </c>
      <c r="I28" s="276"/>
      <c r="J28" s="279">
        <f>F28-H28</f>
        <v>251.60770200000002</v>
      </c>
      <c r="K28" s="276"/>
      <c r="L28" s="280">
        <v>6.72</v>
      </c>
      <c r="M28" s="285"/>
      <c r="N28" s="288">
        <f>J28/L28</f>
        <v>37.441622321428575</v>
      </c>
      <c r="O28" s="285"/>
      <c r="P28" s="289">
        <f>F28/F29</f>
        <v>0.42034497605006677</v>
      </c>
      <c r="Q28" s="285"/>
      <c r="R28" s="285">
        <f>H29*P28</f>
        <v>56.41469637747322</v>
      </c>
      <c r="S28" s="285"/>
      <c r="T28" s="288">
        <f>F28-R28</f>
        <v>240.07948662252682</v>
      </c>
      <c r="U28" s="285"/>
      <c r="V28" s="288">
        <f>T28/L28</f>
        <v>35.726114080733161</v>
      </c>
      <c r="W28" s="285"/>
      <c r="X28" s="288">
        <f>V28-N28</f>
        <v>-1.7155082406954136</v>
      </c>
      <c r="Y28" s="158"/>
      <c r="Z28" s="158"/>
      <c r="AA28" s="158"/>
    </row>
    <row r="29" spans="1:27">
      <c r="A29" s="176"/>
      <c r="B29" s="166" t="s">
        <v>482</v>
      </c>
      <c r="C29" s="176"/>
      <c r="D29" s="176" t="s">
        <v>484</v>
      </c>
      <c r="E29" s="176"/>
      <c r="F29" s="276">
        <f>SUM(F27:F28)</f>
        <v>705.35916900000007</v>
      </c>
      <c r="G29" s="176"/>
      <c r="H29" s="276">
        <f>SUM(H27:H28)</f>
        <v>134.21046899999999</v>
      </c>
      <c r="I29" s="276"/>
      <c r="J29" s="276">
        <f>SUM(J27:J28)</f>
        <v>571.14869999999996</v>
      </c>
      <c r="K29" s="276"/>
      <c r="L29" s="275"/>
      <c r="M29" s="285"/>
      <c r="N29" s="276">
        <f>SUM(N27:N28)</f>
        <v>51.450434158342212</v>
      </c>
      <c r="O29" s="285"/>
      <c r="P29" s="297">
        <f>SUM(P27:P28)</f>
        <v>1</v>
      </c>
      <c r="Q29" s="285"/>
      <c r="R29" s="290"/>
      <c r="S29" s="285"/>
      <c r="T29" s="276">
        <f>SUM(T27:T28)</f>
        <v>571.14870000000008</v>
      </c>
      <c r="U29" s="285"/>
      <c r="V29" s="298">
        <f>SUM(V27:V28)</f>
        <v>50.240327731652641</v>
      </c>
      <c r="W29" s="285"/>
      <c r="X29" s="276">
        <f>SUM(X27:X28)</f>
        <v>-1.2101064266895705</v>
      </c>
      <c r="Y29" s="158"/>
      <c r="Z29" s="367"/>
      <c r="AA29" s="158"/>
    </row>
    <row r="30" spans="1:27">
      <c r="A30" s="176"/>
      <c r="B30" s="166"/>
      <c r="C30" s="176"/>
      <c r="D30" s="176"/>
      <c r="E30" s="176"/>
      <c r="F30" s="176"/>
      <c r="G30" s="176"/>
      <c r="H30" s="276"/>
      <c r="I30" s="276"/>
      <c r="J30" s="276"/>
      <c r="K30" s="276"/>
      <c r="L30" s="276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158"/>
      <c r="Z30" s="158"/>
      <c r="AA30" s="158"/>
    </row>
    <row r="31" spans="1:27">
      <c r="A31" s="176"/>
      <c r="B31" s="166" t="s">
        <v>490</v>
      </c>
      <c r="C31" s="176"/>
      <c r="D31" s="166" t="s">
        <v>476</v>
      </c>
      <c r="E31" s="176"/>
      <c r="F31" s="276">
        <v>168.67457099999999</v>
      </c>
      <c r="G31" s="176"/>
      <c r="H31" s="276">
        <v>-2.356862</v>
      </c>
      <c r="I31" s="276"/>
      <c r="J31" s="276">
        <f>F31-H31</f>
        <v>171.03143299999999</v>
      </c>
      <c r="K31" s="276"/>
      <c r="L31" s="275">
        <v>23.24</v>
      </c>
      <c r="M31" s="285"/>
      <c r="N31" s="285">
        <f>J31/L31</f>
        <v>7.3593559810671261</v>
      </c>
      <c r="O31" s="285"/>
      <c r="P31" s="286">
        <f>F31/F33</f>
        <v>0.89268608404305605</v>
      </c>
      <c r="Q31" s="285"/>
      <c r="R31" s="285">
        <f>H33*P31</f>
        <v>-2.3584882389608466</v>
      </c>
      <c r="S31" s="285"/>
      <c r="T31" s="285">
        <f>F31-R31</f>
        <v>171.03305923896085</v>
      </c>
      <c r="U31" s="285"/>
      <c r="V31" s="285">
        <f>T31/L31</f>
        <v>7.3594259569260263</v>
      </c>
      <c r="W31" s="285"/>
      <c r="X31" s="285">
        <f>V31-N31</f>
        <v>6.9975858900228616E-5</v>
      </c>
      <c r="Y31" s="158"/>
      <c r="Z31" s="158"/>
      <c r="AA31" s="158"/>
    </row>
    <row r="32" spans="1:27">
      <c r="A32" s="176"/>
      <c r="B32" s="166" t="s">
        <v>490</v>
      </c>
      <c r="C32" s="176"/>
      <c r="D32" s="166" t="s">
        <v>485</v>
      </c>
      <c r="E32" s="176"/>
      <c r="F32" s="279">
        <v>20.277149000000001</v>
      </c>
      <c r="G32" s="176"/>
      <c r="H32" s="279">
        <v>-0.28515099999999999</v>
      </c>
      <c r="I32" s="276"/>
      <c r="J32" s="279">
        <f>F32-H32</f>
        <v>20.5623</v>
      </c>
      <c r="K32" s="276"/>
      <c r="L32" s="280">
        <v>19.16</v>
      </c>
      <c r="M32" s="285"/>
      <c r="N32" s="288">
        <f>J32/L32</f>
        <v>1.0731889352818371</v>
      </c>
      <c r="O32" s="285"/>
      <c r="P32" s="289">
        <f>F32/F33</f>
        <v>0.10731391595694394</v>
      </c>
      <c r="Q32" s="285"/>
      <c r="R32" s="285">
        <f>H33*P32</f>
        <v>-0.28352476103915331</v>
      </c>
      <c r="S32" s="285"/>
      <c r="T32" s="288">
        <f>F32-R32</f>
        <v>20.560673761039155</v>
      </c>
      <c r="U32" s="285"/>
      <c r="V32" s="288">
        <f>T32/L32</f>
        <v>1.0731040585093505</v>
      </c>
      <c r="W32" s="285"/>
      <c r="X32" s="288">
        <f>V32-N32</f>
        <v>-8.4876772486586205E-5</v>
      </c>
      <c r="Y32" s="158"/>
      <c r="Z32" s="158"/>
      <c r="AA32" s="158"/>
    </row>
    <row r="33" spans="1:27">
      <c r="A33" s="176"/>
      <c r="B33" s="166" t="s">
        <v>482</v>
      </c>
      <c r="C33" s="176"/>
      <c r="D33" s="176" t="s">
        <v>484</v>
      </c>
      <c r="E33" s="176"/>
      <c r="F33" s="276">
        <f>SUM(F31:F32)</f>
        <v>188.95171999999999</v>
      </c>
      <c r="G33" s="176"/>
      <c r="H33" s="276">
        <f>SUM(H31:H32)</f>
        <v>-2.6420129999999999</v>
      </c>
      <c r="I33" s="276"/>
      <c r="J33" s="276">
        <f>SUM(J31:J32)</f>
        <v>191.59373299999999</v>
      </c>
      <c r="K33" s="276"/>
      <c r="L33" s="275"/>
      <c r="M33" s="285"/>
      <c r="N33" s="276">
        <f>SUM(N31:N32)</f>
        <v>8.432544916348963</v>
      </c>
      <c r="O33" s="285"/>
      <c r="P33" s="297">
        <f>SUM(P31:P32)</f>
        <v>1</v>
      </c>
      <c r="Q33" s="285"/>
      <c r="R33" s="290"/>
      <c r="S33" s="285"/>
      <c r="T33" s="276">
        <f>SUM(T31:T32)</f>
        <v>191.59373299999999</v>
      </c>
      <c r="U33" s="285"/>
      <c r="V33" s="298">
        <f>SUM(V31:V32)</f>
        <v>8.4325300154353773</v>
      </c>
      <c r="W33" s="285"/>
      <c r="X33" s="276">
        <f>SUM(X31:X32)</f>
        <v>-1.4900913586357589E-5</v>
      </c>
      <c r="Y33" s="158"/>
      <c r="Z33" s="367"/>
      <c r="AA33" s="158"/>
    </row>
    <row r="34" spans="1:27">
      <c r="A34" s="176"/>
      <c r="B34" s="176"/>
      <c r="C34" s="176"/>
      <c r="D34" s="176"/>
      <c r="E34" s="176"/>
      <c r="F34" s="176"/>
      <c r="G34" s="176"/>
      <c r="H34" s="276"/>
      <c r="I34" s="276"/>
      <c r="J34" s="276"/>
      <c r="K34" s="276"/>
      <c r="L34" s="276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158"/>
      <c r="Z34" s="158"/>
      <c r="AA34" s="158"/>
    </row>
    <row r="35" spans="1:27">
      <c r="A35" s="176"/>
      <c r="B35" s="166" t="s">
        <v>491</v>
      </c>
      <c r="C35" s="176"/>
      <c r="D35" s="166" t="s">
        <v>476</v>
      </c>
      <c r="E35" s="176"/>
      <c r="F35" s="276">
        <v>285.00985500000002</v>
      </c>
      <c r="G35" s="176"/>
      <c r="H35" s="276">
        <v>45.627279999999999</v>
      </c>
      <c r="I35" s="276"/>
      <c r="J35" s="276">
        <f>F35-H35</f>
        <v>239.38257500000003</v>
      </c>
      <c r="K35" s="276"/>
      <c r="L35" s="275">
        <v>24.32</v>
      </c>
      <c r="M35" s="285"/>
      <c r="N35" s="285">
        <f>J35/L35</f>
        <v>9.8430335115131591</v>
      </c>
      <c r="O35" s="285"/>
      <c r="P35" s="286">
        <f>F35/F37</f>
        <v>0.60085830843135823</v>
      </c>
      <c r="Q35" s="285"/>
      <c r="R35" s="285">
        <f>H37*P35</f>
        <v>38.214181635159576</v>
      </c>
      <c r="S35" s="285"/>
      <c r="T35" s="285">
        <f>F35-R35</f>
        <v>246.79567336484044</v>
      </c>
      <c r="U35" s="285"/>
      <c r="V35" s="285">
        <f>T35/L35</f>
        <v>10.147848411383242</v>
      </c>
      <c r="W35" s="285"/>
      <c r="X35" s="285">
        <f>V35-N35</f>
        <v>0.30481489987008281</v>
      </c>
      <c r="Y35" s="158"/>
      <c r="Z35" s="158"/>
      <c r="AA35" s="158"/>
    </row>
    <row r="36" spans="1:27">
      <c r="A36" s="176"/>
      <c r="B36" s="166" t="s">
        <v>491</v>
      </c>
      <c r="C36" s="176"/>
      <c r="D36" s="166" t="s">
        <v>485</v>
      </c>
      <c r="E36" s="176"/>
      <c r="F36" s="279">
        <v>189.328023</v>
      </c>
      <c r="G36" s="176"/>
      <c r="H36" s="279">
        <v>17.972042999999999</v>
      </c>
      <c r="I36" s="276"/>
      <c r="J36" s="279">
        <f>F36-H36</f>
        <v>171.35597999999999</v>
      </c>
      <c r="K36" s="276"/>
      <c r="L36" s="280">
        <v>7.04</v>
      </c>
      <c r="M36" s="285"/>
      <c r="N36" s="288">
        <f>J36/L36</f>
        <v>24.340338068181815</v>
      </c>
      <c r="O36" s="285"/>
      <c r="P36" s="289">
        <f>F36/F37</f>
        <v>0.39914169156864165</v>
      </c>
      <c r="Q36" s="285"/>
      <c r="R36" s="285">
        <f>H37*P36</f>
        <v>25.385141364840418</v>
      </c>
      <c r="S36" s="285"/>
      <c r="T36" s="288">
        <f>F36-R36</f>
        <v>163.94288163515958</v>
      </c>
      <c r="U36" s="285"/>
      <c r="V36" s="288">
        <f>T36/L36</f>
        <v>23.287341141357896</v>
      </c>
      <c r="W36" s="285"/>
      <c r="X36" s="288">
        <f>V36-N36</f>
        <v>-1.0529969268239192</v>
      </c>
      <c r="Y36" s="158"/>
      <c r="Z36" s="158"/>
      <c r="AA36" s="158"/>
    </row>
    <row r="37" spans="1:27">
      <c r="A37" s="176"/>
      <c r="B37" s="166" t="s">
        <v>482</v>
      </c>
      <c r="C37" s="176"/>
      <c r="D37" s="176" t="s">
        <v>484</v>
      </c>
      <c r="E37" s="176"/>
      <c r="F37" s="276">
        <f>SUM(F35:F36)</f>
        <v>474.33787800000005</v>
      </c>
      <c r="G37" s="176"/>
      <c r="H37" s="276">
        <f>SUM(H35:H36)</f>
        <v>63.599322999999998</v>
      </c>
      <c r="I37" s="276"/>
      <c r="J37" s="276">
        <f>SUM(J35:J36)</f>
        <v>410.73855500000002</v>
      </c>
      <c r="K37" s="276"/>
      <c r="L37" s="275"/>
      <c r="M37" s="285"/>
      <c r="N37" s="276">
        <f>SUM(N35:N36)</f>
        <v>34.183371579694978</v>
      </c>
      <c r="O37" s="285"/>
      <c r="P37" s="297">
        <f>SUM(P35:P36)</f>
        <v>0.99999999999999989</v>
      </c>
      <c r="Q37" s="285"/>
      <c r="R37" s="290"/>
      <c r="S37" s="285"/>
      <c r="T37" s="276">
        <f>SUM(T35:T36)</f>
        <v>410.73855500000002</v>
      </c>
      <c r="U37" s="285"/>
      <c r="V37" s="298">
        <f>SUM(V35:V36)</f>
        <v>33.435189552741136</v>
      </c>
      <c r="W37" s="285"/>
      <c r="X37" s="276">
        <f>SUM(X35:X36)</f>
        <v>-0.7481820269538364</v>
      </c>
      <c r="Y37" s="158"/>
      <c r="Z37" s="367"/>
      <c r="AA37" s="158"/>
    </row>
    <row r="38" spans="1:27">
      <c r="A38" s="176"/>
      <c r="B38" s="166"/>
      <c r="C38" s="176"/>
      <c r="D38" s="176"/>
      <c r="E38" s="176"/>
      <c r="F38" s="276"/>
      <c r="G38" s="176"/>
      <c r="H38" s="276"/>
      <c r="I38" s="276"/>
      <c r="J38" s="276"/>
      <c r="K38" s="276"/>
      <c r="L38" s="275"/>
      <c r="M38" s="285"/>
      <c r="N38" s="291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158"/>
      <c r="Z38" s="158"/>
      <c r="AA38" s="158"/>
    </row>
    <row r="39" spans="1:27">
      <c r="A39" s="176"/>
      <c r="B39" s="166" t="s">
        <v>492</v>
      </c>
      <c r="C39" s="176"/>
      <c r="D39" s="166" t="s">
        <v>476</v>
      </c>
      <c r="E39" s="176"/>
      <c r="F39" s="276">
        <v>23.358058</v>
      </c>
      <c r="G39" s="176"/>
      <c r="H39" s="276">
        <v>14.921187</v>
      </c>
      <c r="I39" s="276"/>
      <c r="J39" s="276">
        <f>F39-H39</f>
        <v>8.436871</v>
      </c>
      <c r="K39" s="276"/>
      <c r="L39" s="275">
        <v>15.31</v>
      </c>
      <c r="M39" s="285"/>
      <c r="N39" s="285">
        <f>J39/L39</f>
        <v>0.55106930111038532</v>
      </c>
      <c r="O39" s="285"/>
      <c r="P39" s="286">
        <f>F39/F41</f>
        <v>0.91283491633735181</v>
      </c>
      <c r="Q39" s="285"/>
      <c r="R39" s="285">
        <f>H41*P39</f>
        <v>14.38773242749839</v>
      </c>
      <c r="S39" s="285"/>
      <c r="T39" s="285">
        <f>F39-R39</f>
        <v>8.9703255725016096</v>
      </c>
      <c r="U39" s="285"/>
      <c r="V39" s="285">
        <f>T39/L39</f>
        <v>0.58591283948410255</v>
      </c>
      <c r="W39" s="285"/>
      <c r="X39" s="285">
        <f>V39-N39</f>
        <v>3.4843538373717231E-2</v>
      </c>
      <c r="Y39" s="158"/>
      <c r="Z39" s="158"/>
      <c r="AA39" s="158"/>
    </row>
    <row r="40" spans="1:27">
      <c r="A40" s="176"/>
      <c r="B40" s="166" t="s">
        <v>492</v>
      </c>
      <c r="C40" s="176"/>
      <c r="D40" s="166" t="s">
        <v>485</v>
      </c>
      <c r="E40" s="176"/>
      <c r="F40" s="279">
        <v>2.2304219999999999</v>
      </c>
      <c r="G40" s="176"/>
      <c r="H40" s="279">
        <v>0.84040599999999999</v>
      </c>
      <c r="I40" s="276"/>
      <c r="J40" s="279">
        <f>F40-H40</f>
        <v>1.3900159999999999</v>
      </c>
      <c r="K40" s="276"/>
      <c r="L40" s="280">
        <v>5.67</v>
      </c>
      <c r="M40" s="285"/>
      <c r="N40" s="288">
        <f>J40/L40</f>
        <v>0.24515273368606702</v>
      </c>
      <c r="O40" s="285"/>
      <c r="P40" s="289">
        <f>F40/F41</f>
        <v>8.7165083662648191E-2</v>
      </c>
      <c r="Q40" s="285"/>
      <c r="R40" s="285">
        <f>H41*P40</f>
        <v>1.37386057250161</v>
      </c>
      <c r="S40" s="285"/>
      <c r="T40" s="288">
        <f>F40-R40</f>
        <v>0.85656142749838993</v>
      </c>
      <c r="U40" s="285"/>
      <c r="V40" s="288">
        <f>T40/L40</f>
        <v>0.15106903483216755</v>
      </c>
      <c r="W40" s="285"/>
      <c r="X40" s="288">
        <f>V40-N40</f>
        <v>-9.4083698853899472E-2</v>
      </c>
      <c r="Y40" s="158"/>
      <c r="Z40" s="158"/>
      <c r="AA40" s="158"/>
    </row>
    <row r="41" spans="1:27">
      <c r="A41" s="176"/>
      <c r="B41" s="166" t="s">
        <v>482</v>
      </c>
      <c r="C41" s="176"/>
      <c r="D41" s="176" t="s">
        <v>484</v>
      </c>
      <c r="E41" s="176"/>
      <c r="F41" s="276">
        <f>SUM(F39:F40)</f>
        <v>25.588480000000001</v>
      </c>
      <c r="G41" s="176"/>
      <c r="H41" s="276">
        <f>SUM(H39:H40)</f>
        <v>15.761593</v>
      </c>
      <c r="I41" s="276"/>
      <c r="J41" s="276">
        <f>SUM(J39:J40)</f>
        <v>9.8268869999999993</v>
      </c>
      <c r="K41" s="276"/>
      <c r="L41" s="275"/>
      <c r="M41" s="285"/>
      <c r="N41" s="276">
        <f>SUM(N39:N40)</f>
        <v>0.79622203479645237</v>
      </c>
      <c r="O41" s="285"/>
      <c r="P41" s="297">
        <f>SUM(P39:P40)</f>
        <v>1</v>
      </c>
      <c r="Q41" s="285"/>
      <c r="R41" s="290"/>
      <c r="S41" s="285"/>
      <c r="T41" s="276">
        <f>SUM(T39:T40)</f>
        <v>9.8268869999999993</v>
      </c>
      <c r="U41" s="285"/>
      <c r="V41" s="298">
        <f>SUM(V39:V40)</f>
        <v>0.73698187431627016</v>
      </c>
      <c r="W41" s="285"/>
      <c r="X41" s="276">
        <f>SUM(X39:X40)</f>
        <v>-5.9240160480182241E-2</v>
      </c>
      <c r="Y41" s="158"/>
      <c r="Z41" s="367"/>
      <c r="AA41" s="158"/>
    </row>
    <row r="42" spans="1:27">
      <c r="A42" s="176"/>
      <c r="B42" s="166"/>
      <c r="C42" s="176"/>
      <c r="D42" s="176"/>
      <c r="E42" s="176"/>
      <c r="F42" s="176"/>
      <c r="G42" s="176"/>
      <c r="H42" s="276"/>
      <c r="I42" s="276"/>
      <c r="J42" s="276"/>
      <c r="K42" s="276"/>
      <c r="L42" s="276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158"/>
      <c r="Z42" s="158"/>
      <c r="AA42" s="158"/>
    </row>
    <row r="43" spans="1:27">
      <c r="A43" s="176"/>
      <c r="B43" s="166" t="s">
        <v>493</v>
      </c>
      <c r="C43" s="176"/>
      <c r="D43" s="166" t="s">
        <v>476</v>
      </c>
      <c r="E43" s="176"/>
      <c r="F43" s="276">
        <v>163.05640600000001</v>
      </c>
      <c r="G43" s="176"/>
      <c r="H43" s="276">
        <v>42.710301999999999</v>
      </c>
      <c r="I43" s="276"/>
      <c r="J43" s="276">
        <f>F43-H43</f>
        <v>120.34610400000001</v>
      </c>
      <c r="K43" s="276"/>
      <c r="L43" s="275">
        <v>15.28</v>
      </c>
      <c r="M43" s="285"/>
      <c r="N43" s="285">
        <f>J43/L43</f>
        <v>7.8760539267015721</v>
      </c>
      <c r="O43" s="285"/>
      <c r="P43" s="286">
        <f>F43/F45</f>
        <v>0.72153181403273581</v>
      </c>
      <c r="Q43" s="285"/>
      <c r="R43" s="285">
        <f>H45*P43</f>
        <v>33.961368238509216</v>
      </c>
      <c r="S43" s="285"/>
      <c r="T43" s="285">
        <f>F43-R43</f>
        <v>129.0950377614908</v>
      </c>
      <c r="U43" s="285"/>
      <c r="V43" s="285">
        <f>T43/L43</f>
        <v>8.4486281257520162</v>
      </c>
      <c r="W43" s="285"/>
      <c r="X43" s="285">
        <f>V43-N43</f>
        <v>0.57257419905044404</v>
      </c>
      <c r="Y43" s="158"/>
      <c r="Z43" s="158"/>
      <c r="AA43" s="158"/>
    </row>
    <row r="44" spans="1:27">
      <c r="A44" s="176"/>
      <c r="B44" s="166" t="s">
        <v>493</v>
      </c>
      <c r="C44" s="176"/>
      <c r="D44" s="166" t="s">
        <v>485</v>
      </c>
      <c r="E44" s="176"/>
      <c r="F44" s="279">
        <v>62.930033999999999</v>
      </c>
      <c r="G44" s="176"/>
      <c r="H44" s="279">
        <v>4.3581260000000004</v>
      </c>
      <c r="I44" s="276"/>
      <c r="J44" s="279">
        <f>F44-H44</f>
        <v>58.571908000000001</v>
      </c>
      <c r="K44" s="276"/>
      <c r="L44" s="280">
        <v>7.31</v>
      </c>
      <c r="M44" s="285"/>
      <c r="N44" s="288">
        <f>J44/L44</f>
        <v>8.0125729138166903</v>
      </c>
      <c r="O44" s="285"/>
      <c r="P44" s="289">
        <f>F44/F45</f>
        <v>0.27846818596726419</v>
      </c>
      <c r="Q44" s="285"/>
      <c r="R44" s="285">
        <f>H45*P44</f>
        <v>13.107059761490785</v>
      </c>
      <c r="S44" s="285"/>
      <c r="T44" s="288">
        <f>F44-R44</f>
        <v>49.822974238509218</v>
      </c>
      <c r="U44" s="285"/>
      <c r="V44" s="288">
        <f>T44/L44</f>
        <v>6.8157283500012618</v>
      </c>
      <c r="W44" s="285"/>
      <c r="X44" s="288">
        <f>V44-N44</f>
        <v>-1.1968445638154286</v>
      </c>
      <c r="Y44" s="158"/>
      <c r="Z44" s="158"/>
      <c r="AA44" s="158"/>
    </row>
    <row r="45" spans="1:27">
      <c r="A45" s="176"/>
      <c r="B45" s="166" t="s">
        <v>482</v>
      </c>
      <c r="C45" s="176"/>
      <c r="D45" s="176" t="s">
        <v>484</v>
      </c>
      <c r="E45" s="176"/>
      <c r="F45" s="276">
        <f>SUM(F43:F44)</f>
        <v>225.98644000000002</v>
      </c>
      <c r="G45" s="176"/>
      <c r="H45" s="276">
        <f>SUM(H43:H44)</f>
        <v>47.068427999999997</v>
      </c>
      <c r="I45" s="276"/>
      <c r="J45" s="276">
        <f>SUM(J43:J44)</f>
        <v>178.918012</v>
      </c>
      <c r="K45" s="276"/>
      <c r="L45" s="275"/>
      <c r="M45" s="285"/>
      <c r="N45" s="276">
        <f>SUM(N43:N44)</f>
        <v>15.888626840518263</v>
      </c>
      <c r="O45" s="285"/>
      <c r="P45" s="297">
        <f>SUM(P43:P44)</f>
        <v>1</v>
      </c>
      <c r="Q45" s="285"/>
      <c r="R45" s="290"/>
      <c r="S45" s="285"/>
      <c r="T45" s="276">
        <f>SUM(T43:T44)</f>
        <v>178.91801200000003</v>
      </c>
      <c r="U45" s="285"/>
      <c r="V45" s="298">
        <f>SUM(V43:V44)</f>
        <v>15.264356475753278</v>
      </c>
      <c r="W45" s="285"/>
      <c r="X45" s="276">
        <f>SUM(X43:X44)</f>
        <v>-0.62427036476498454</v>
      </c>
      <c r="Y45" s="158"/>
      <c r="Z45" s="367"/>
      <c r="AA45" s="158"/>
    </row>
    <row r="46" spans="1:27">
      <c r="A46" s="176"/>
      <c r="B46" s="176"/>
      <c r="C46" s="176"/>
      <c r="D46" s="176"/>
      <c r="E46" s="176"/>
      <c r="F46" s="176"/>
      <c r="G46" s="176"/>
      <c r="H46" s="276"/>
      <c r="I46" s="276"/>
      <c r="J46" s="276"/>
      <c r="K46" s="276"/>
      <c r="L46" s="276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158"/>
      <c r="Z46" s="158"/>
      <c r="AA46" s="158"/>
    </row>
    <row r="47" spans="1:27">
      <c r="A47" s="176"/>
      <c r="B47" s="166" t="s">
        <v>494</v>
      </c>
      <c r="C47" s="176"/>
      <c r="D47" s="166" t="s">
        <v>476</v>
      </c>
      <c r="E47" s="176"/>
      <c r="F47" s="276">
        <v>169.519058</v>
      </c>
      <c r="G47" s="176"/>
      <c r="H47" s="276">
        <v>64.561903999999998</v>
      </c>
      <c r="I47" s="276"/>
      <c r="J47" s="276">
        <f>F47-H47</f>
        <v>104.957154</v>
      </c>
      <c r="K47" s="276"/>
      <c r="L47" s="275">
        <v>15.33</v>
      </c>
      <c r="M47" s="285"/>
      <c r="N47" s="285">
        <f>J47/L47</f>
        <v>6.8465201565557727</v>
      </c>
      <c r="O47" s="285"/>
      <c r="P47" s="286">
        <f>F47/F49</f>
        <v>0.63882464084389112</v>
      </c>
      <c r="Q47" s="285"/>
      <c r="R47" s="285">
        <f>H49*P47</f>
        <v>49.827129939043687</v>
      </c>
      <c r="S47" s="285"/>
      <c r="T47" s="285">
        <f>F47-R47</f>
        <v>119.69192806095631</v>
      </c>
      <c r="U47" s="285"/>
      <c r="V47" s="285">
        <f>T47/L47</f>
        <v>7.8076926328086307</v>
      </c>
      <c r="W47" s="285"/>
      <c r="X47" s="285">
        <f>V47-N47</f>
        <v>0.96117247625285795</v>
      </c>
      <c r="Y47" s="158"/>
      <c r="Z47" s="158"/>
      <c r="AA47" s="158"/>
    </row>
    <row r="48" spans="1:27">
      <c r="A48" s="176"/>
      <c r="B48" s="166" t="s">
        <v>494</v>
      </c>
      <c r="C48" s="176"/>
      <c r="D48" s="166" t="s">
        <v>485</v>
      </c>
      <c r="E48" s="176"/>
      <c r="F48" s="279">
        <v>95.841804999999994</v>
      </c>
      <c r="G48" s="176"/>
      <c r="H48" s="279">
        <v>13.43623</v>
      </c>
      <c r="I48" s="276"/>
      <c r="J48" s="279">
        <f>F48-H48</f>
        <v>82.405574999999999</v>
      </c>
      <c r="K48" s="276"/>
      <c r="L48" s="280">
        <v>6.88</v>
      </c>
      <c r="M48" s="285"/>
      <c r="N48" s="288">
        <f>J48/L48</f>
        <v>11.977554505813954</v>
      </c>
      <c r="O48" s="285"/>
      <c r="P48" s="289">
        <f>F48/F49</f>
        <v>0.36117535915610882</v>
      </c>
      <c r="Q48" s="285"/>
      <c r="R48" s="285">
        <f>H49*P48</f>
        <v>28.171004060956299</v>
      </c>
      <c r="S48" s="285"/>
      <c r="T48" s="288">
        <f>F48-R48</f>
        <v>67.670800939043687</v>
      </c>
      <c r="U48" s="285"/>
      <c r="V48" s="288">
        <f>T48/L48</f>
        <v>9.8358722295121641</v>
      </c>
      <c r="W48" s="285"/>
      <c r="X48" s="288">
        <f>V48-N48</f>
        <v>-2.1416822763017898</v>
      </c>
      <c r="Y48" s="158"/>
      <c r="Z48" s="158"/>
      <c r="AA48" s="158"/>
    </row>
    <row r="49" spans="1:27">
      <c r="A49" s="176"/>
      <c r="B49" s="166" t="s">
        <v>482</v>
      </c>
      <c r="C49" s="176"/>
      <c r="D49" s="176" t="s">
        <v>484</v>
      </c>
      <c r="E49" s="176"/>
      <c r="F49" s="276">
        <f>SUM(F47:F48)</f>
        <v>265.36086299999999</v>
      </c>
      <c r="G49" s="176"/>
      <c r="H49" s="276">
        <f>SUM(H47:H48)</f>
        <v>77.998133999999993</v>
      </c>
      <c r="I49" s="276"/>
      <c r="J49" s="276">
        <f>SUM(J47:J48)</f>
        <v>187.362729</v>
      </c>
      <c r="K49" s="276"/>
      <c r="L49" s="275"/>
      <c r="M49" s="285"/>
      <c r="N49" s="276">
        <f>SUM(N47:N48)</f>
        <v>18.824074662369725</v>
      </c>
      <c r="O49" s="285"/>
      <c r="P49" s="297">
        <f>SUM(P47:P48)</f>
        <v>1</v>
      </c>
      <c r="Q49" s="285"/>
      <c r="R49" s="290"/>
      <c r="S49" s="285"/>
      <c r="T49" s="276">
        <f>SUM(T47:T48)</f>
        <v>187.362729</v>
      </c>
      <c r="U49" s="285"/>
      <c r="V49" s="298">
        <f>SUM(V47:V48)</f>
        <v>17.643564862320794</v>
      </c>
      <c r="W49" s="285"/>
      <c r="X49" s="276">
        <f>SUM(X47:X48)</f>
        <v>-1.1805098000489318</v>
      </c>
      <c r="Y49" s="158"/>
      <c r="Z49" s="367"/>
      <c r="AA49" s="158"/>
    </row>
    <row r="50" spans="1:27">
      <c r="A50" s="176"/>
      <c r="B50" s="166"/>
      <c r="C50" s="176"/>
      <c r="D50" s="176"/>
      <c r="E50" s="176"/>
      <c r="F50" s="276"/>
      <c r="G50" s="176"/>
      <c r="H50" s="276"/>
      <c r="I50" s="276"/>
      <c r="J50" s="276"/>
      <c r="K50" s="276"/>
      <c r="L50" s="275"/>
      <c r="M50" s="285"/>
      <c r="N50" s="291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158"/>
      <c r="Z50" s="158"/>
      <c r="AA50" s="158"/>
    </row>
    <row r="51" spans="1:27">
      <c r="A51" s="176"/>
      <c r="B51" s="166" t="s">
        <v>495</v>
      </c>
      <c r="C51" s="176"/>
      <c r="D51" s="166" t="s">
        <v>476</v>
      </c>
      <c r="E51" s="176"/>
      <c r="F51" s="276">
        <v>308.99424599999998</v>
      </c>
      <c r="G51" s="176"/>
      <c r="H51" s="276">
        <v>45.987971999999999</v>
      </c>
      <c r="I51" s="276"/>
      <c r="J51" s="276">
        <f>F51-H51</f>
        <v>263.00627399999996</v>
      </c>
      <c r="K51" s="276"/>
      <c r="L51" s="275">
        <v>24.36</v>
      </c>
      <c r="M51" s="285"/>
      <c r="N51" s="285">
        <f>J51/L51</f>
        <v>10.796645073891625</v>
      </c>
      <c r="O51" s="285"/>
      <c r="P51" s="286">
        <f>F51/F53</f>
        <v>0.58124835649672169</v>
      </c>
      <c r="Q51" s="285"/>
      <c r="R51" s="285">
        <f>H53*P51</f>
        <v>39.275739040006535</v>
      </c>
      <c r="S51" s="285"/>
      <c r="T51" s="285">
        <f>F51-R51</f>
        <v>269.71850695999342</v>
      </c>
      <c r="U51" s="285"/>
      <c r="V51" s="285">
        <f>T51/L51</f>
        <v>11.072188298850305</v>
      </c>
      <c r="W51" s="285"/>
      <c r="X51" s="285">
        <f>V51-N51</f>
        <v>0.27554322495868</v>
      </c>
      <c r="Y51" s="158"/>
      <c r="Z51" s="158"/>
      <c r="AA51" s="158"/>
    </row>
    <row r="52" spans="1:27">
      <c r="A52" s="176"/>
      <c r="B52" s="166" t="s">
        <v>495</v>
      </c>
      <c r="C52" s="176"/>
      <c r="D52" s="166" t="s">
        <v>485</v>
      </c>
      <c r="E52" s="176"/>
      <c r="F52" s="279">
        <v>222.61026100000001</v>
      </c>
      <c r="G52" s="176"/>
      <c r="H52" s="279">
        <v>21.583383000000001</v>
      </c>
      <c r="I52" s="276"/>
      <c r="J52" s="279">
        <f>F52-H52</f>
        <v>201.02687800000001</v>
      </c>
      <c r="K52" s="276"/>
      <c r="L52" s="280">
        <v>6.93</v>
      </c>
      <c r="M52" s="285"/>
      <c r="N52" s="288">
        <f>J52/L52</f>
        <v>29.008207503607505</v>
      </c>
      <c r="O52" s="285"/>
      <c r="P52" s="289">
        <f>F52/F53</f>
        <v>0.41875164350327826</v>
      </c>
      <c r="Q52" s="285"/>
      <c r="R52" s="285">
        <f>H53*P52</f>
        <v>28.295615959993459</v>
      </c>
      <c r="S52" s="285"/>
      <c r="T52" s="288">
        <f>F52-R52</f>
        <v>194.31464504000655</v>
      </c>
      <c r="U52" s="285"/>
      <c r="V52" s="288">
        <f>T52/L52</f>
        <v>28.039631318904267</v>
      </c>
      <c r="W52" s="285"/>
      <c r="X52" s="288">
        <f>V52-N52</f>
        <v>-0.96857618470323814</v>
      </c>
      <c r="Y52" s="158"/>
      <c r="Z52" s="158"/>
      <c r="AA52" s="158"/>
    </row>
    <row r="53" spans="1:27">
      <c r="A53" s="176"/>
      <c r="B53" s="166" t="s">
        <v>482</v>
      </c>
      <c r="C53" s="176"/>
      <c r="D53" s="176" t="s">
        <v>484</v>
      </c>
      <c r="E53" s="176"/>
      <c r="F53" s="276">
        <f>SUM(F51:F52)</f>
        <v>531.60450700000001</v>
      </c>
      <c r="G53" s="176"/>
      <c r="H53" s="276">
        <f>SUM(H51:H52)</f>
        <v>67.571354999999997</v>
      </c>
      <c r="I53" s="276"/>
      <c r="J53" s="276">
        <f>SUM(J51:J52)</f>
        <v>464.03315199999997</v>
      </c>
      <c r="K53" s="276"/>
      <c r="L53" s="275"/>
      <c r="M53" s="285"/>
      <c r="N53" s="276">
        <f>SUM(N51:N52)</f>
        <v>39.804852577499133</v>
      </c>
      <c r="O53" s="285"/>
      <c r="P53" s="297">
        <f>SUM(P51:P52)</f>
        <v>1</v>
      </c>
      <c r="Q53" s="285"/>
      <c r="R53" s="290"/>
      <c r="S53" s="285"/>
      <c r="T53" s="276">
        <f>SUM(T51:T52)</f>
        <v>464.03315199999997</v>
      </c>
      <c r="U53" s="285"/>
      <c r="V53" s="298">
        <f>SUM(V51:V52)</f>
        <v>39.11181961775457</v>
      </c>
      <c r="W53" s="285"/>
      <c r="X53" s="276">
        <f>SUM(X51:X52)</f>
        <v>-0.69303295974455814</v>
      </c>
      <c r="Y53" s="158"/>
      <c r="Z53" s="367"/>
      <c r="AA53" s="158"/>
    </row>
    <row r="54" spans="1:27">
      <c r="A54" s="176"/>
      <c r="B54" s="166"/>
      <c r="C54" s="176"/>
      <c r="D54" s="176"/>
      <c r="E54" s="176"/>
      <c r="F54" s="276"/>
      <c r="G54" s="176"/>
      <c r="H54" s="276"/>
      <c r="I54" s="276"/>
      <c r="J54" s="276"/>
      <c r="K54" s="276"/>
      <c r="L54" s="275"/>
      <c r="M54" s="285"/>
      <c r="N54" s="291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158"/>
      <c r="Z54" s="158"/>
      <c r="AA54" s="158"/>
    </row>
    <row r="55" spans="1:27">
      <c r="A55" s="176"/>
      <c r="B55" s="166" t="s">
        <v>496</v>
      </c>
      <c r="C55" s="176"/>
      <c r="D55" s="166" t="s">
        <v>476</v>
      </c>
      <c r="E55" s="176"/>
      <c r="F55" s="276">
        <v>215.83548999999999</v>
      </c>
      <c r="G55" s="176"/>
      <c r="H55" s="276">
        <v>32.420005000000003</v>
      </c>
      <c r="I55" s="276"/>
      <c r="J55" s="276">
        <f>F55-H55</f>
        <v>183.41548499999999</v>
      </c>
      <c r="K55" s="276"/>
      <c r="L55" s="275">
        <v>22.65</v>
      </c>
      <c r="M55" s="285"/>
      <c r="N55" s="285">
        <f>J55/L55</f>
        <v>8.0978139072847686</v>
      </c>
      <c r="O55" s="285"/>
      <c r="P55" s="286">
        <f>F55/F57</f>
        <v>0.54076542244776504</v>
      </c>
      <c r="Q55" s="285"/>
      <c r="R55" s="285">
        <f>H57*P55</f>
        <v>24.961566425969565</v>
      </c>
      <c r="S55" s="285"/>
      <c r="T55" s="285">
        <f>F55-R55</f>
        <v>190.87392357403041</v>
      </c>
      <c r="U55" s="285"/>
      <c r="V55" s="285">
        <f>T55/L55</f>
        <v>8.4271047935554275</v>
      </c>
      <c r="W55" s="285"/>
      <c r="X55" s="285">
        <f>V55-N55</f>
        <v>0.32929088627065894</v>
      </c>
      <c r="Y55" s="158"/>
      <c r="Z55" s="158"/>
      <c r="AA55" s="158"/>
    </row>
    <row r="56" spans="1:27">
      <c r="A56" s="176"/>
      <c r="B56" s="166" t="s">
        <v>496</v>
      </c>
      <c r="C56" s="176"/>
      <c r="D56" s="166" t="s">
        <v>485</v>
      </c>
      <c r="E56" s="176"/>
      <c r="F56" s="279">
        <v>183.294116</v>
      </c>
      <c r="G56" s="176"/>
      <c r="H56" s="279">
        <v>13.739689</v>
      </c>
      <c r="I56" s="276"/>
      <c r="J56" s="279">
        <f>F56-H56</f>
        <v>169.554427</v>
      </c>
      <c r="K56" s="276"/>
      <c r="L56" s="280">
        <v>7.08</v>
      </c>
      <c r="M56" s="285"/>
      <c r="N56" s="288">
        <f>J56/L56</f>
        <v>23.948365395480227</v>
      </c>
      <c r="O56" s="285"/>
      <c r="P56" s="289">
        <f>F56/F57</f>
        <v>0.45923457755223507</v>
      </c>
      <c r="Q56" s="285"/>
      <c r="R56" s="285">
        <f>H57*P56</f>
        <v>21.19812757403044</v>
      </c>
      <c r="S56" s="285"/>
      <c r="T56" s="288">
        <f>F56-R56</f>
        <v>162.09598842596955</v>
      </c>
      <c r="U56" s="285"/>
      <c r="V56" s="288">
        <f>T56/L56</f>
        <v>22.894913619487223</v>
      </c>
      <c r="W56" s="285"/>
      <c r="X56" s="288">
        <f>V56-N56</f>
        <v>-1.053451775993004</v>
      </c>
      <c r="Y56" s="158"/>
      <c r="Z56" s="158"/>
      <c r="AA56" s="158"/>
    </row>
    <row r="57" spans="1:27">
      <c r="A57" s="176"/>
      <c r="B57" s="166" t="s">
        <v>482</v>
      </c>
      <c r="C57" s="176"/>
      <c r="D57" s="176" t="s">
        <v>484</v>
      </c>
      <c r="E57" s="176"/>
      <c r="F57" s="276">
        <f>SUM(F55:F56)</f>
        <v>399.12960599999997</v>
      </c>
      <c r="G57" s="176"/>
      <c r="H57" s="276">
        <f>SUM(H55:H56)</f>
        <v>46.159694000000002</v>
      </c>
      <c r="I57" s="276"/>
      <c r="J57" s="276">
        <f>SUM(J55:J56)</f>
        <v>352.96991200000002</v>
      </c>
      <c r="K57" s="276"/>
      <c r="L57" s="275"/>
      <c r="M57" s="285"/>
      <c r="N57" s="276">
        <f>SUM(N55:N56)</f>
        <v>32.046179302764997</v>
      </c>
      <c r="O57" s="285"/>
      <c r="P57" s="297">
        <f>SUM(P55:P56)</f>
        <v>1</v>
      </c>
      <c r="Q57" s="285"/>
      <c r="R57" s="290"/>
      <c r="S57" s="285"/>
      <c r="T57" s="276">
        <f>SUM(T55:T56)</f>
        <v>352.96991199999997</v>
      </c>
      <c r="U57" s="285"/>
      <c r="V57" s="298">
        <f>SUM(V55:V56)</f>
        <v>31.322018413042649</v>
      </c>
      <c r="W57" s="285"/>
      <c r="X57" s="276">
        <f>SUM(X55:X56)</f>
        <v>-0.72416088972234505</v>
      </c>
      <c r="Y57" s="158"/>
      <c r="Z57" s="367"/>
      <c r="AA57" s="158"/>
    </row>
    <row r="58" spans="1:27">
      <c r="A58" s="176"/>
      <c r="B58" s="166"/>
      <c r="C58" s="176"/>
      <c r="D58" s="176"/>
      <c r="E58" s="176"/>
      <c r="F58" s="176"/>
      <c r="G58" s="176"/>
      <c r="H58" s="276"/>
      <c r="I58" s="276"/>
      <c r="J58" s="276"/>
      <c r="K58" s="276"/>
      <c r="L58" s="276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158"/>
      <c r="Z58" s="158"/>
      <c r="AA58" s="158"/>
    </row>
    <row r="59" spans="1:27">
      <c r="A59" s="176"/>
      <c r="B59" s="166" t="s">
        <v>497</v>
      </c>
      <c r="C59" s="176"/>
      <c r="D59" s="166" t="s">
        <v>476</v>
      </c>
      <c r="E59" s="176"/>
      <c r="F59" s="276">
        <v>233.978163</v>
      </c>
      <c r="G59" s="176"/>
      <c r="H59" s="276">
        <v>25.42783</v>
      </c>
      <c r="I59" s="276"/>
      <c r="J59" s="276">
        <f>F59-H59</f>
        <v>208.55033299999999</v>
      </c>
      <c r="K59" s="276"/>
      <c r="L59" s="275">
        <v>21.87</v>
      </c>
      <c r="M59" s="285"/>
      <c r="N59" s="285">
        <f>J59/L59</f>
        <v>9.535909144947416</v>
      </c>
      <c r="O59" s="285"/>
      <c r="P59" s="286">
        <f>F59/F61</f>
        <v>0.57978171356844255</v>
      </c>
      <c r="Q59" s="285"/>
      <c r="R59" s="285">
        <f>H61*P59</f>
        <v>19.707768972012992</v>
      </c>
      <c r="S59" s="285"/>
      <c r="T59" s="285">
        <f>F59-R59</f>
        <v>214.27039402798701</v>
      </c>
      <c r="U59" s="285"/>
      <c r="V59" s="285">
        <f>T59/L59</f>
        <v>9.7974574315494749</v>
      </c>
      <c r="W59" s="285"/>
      <c r="X59" s="285">
        <f>V59-N59</f>
        <v>0.26154828660205887</v>
      </c>
      <c r="Y59" s="158"/>
      <c r="Z59" s="158"/>
      <c r="AA59" s="158"/>
    </row>
    <row r="60" spans="1:27">
      <c r="A60" s="176"/>
      <c r="B60" s="166" t="s">
        <v>497</v>
      </c>
      <c r="C60" s="176"/>
      <c r="D60" s="166" t="s">
        <v>485</v>
      </c>
      <c r="E60" s="176"/>
      <c r="F60" s="279">
        <v>169.58434600000001</v>
      </c>
      <c r="G60" s="176"/>
      <c r="H60" s="279">
        <v>8.5638749999999995</v>
      </c>
      <c r="I60" s="276"/>
      <c r="J60" s="279">
        <f>F60-H60</f>
        <v>161.02047100000001</v>
      </c>
      <c r="K60" s="276"/>
      <c r="L60" s="280">
        <v>7.16</v>
      </c>
      <c r="M60" s="285"/>
      <c r="N60" s="288">
        <f>J60/L60</f>
        <v>22.488892597765364</v>
      </c>
      <c r="O60" s="285"/>
      <c r="P60" s="289">
        <f>F60/F61</f>
        <v>0.42021828643155756</v>
      </c>
      <c r="Q60" s="285"/>
      <c r="R60" s="285">
        <f>H61*P60</f>
        <v>14.283936027987005</v>
      </c>
      <c r="S60" s="285"/>
      <c r="T60" s="288">
        <f>F60-R60</f>
        <v>155.300409972013</v>
      </c>
      <c r="U60" s="285"/>
      <c r="V60" s="288">
        <f>T60/L60</f>
        <v>21.690001392739244</v>
      </c>
      <c r="W60" s="285"/>
      <c r="X60" s="288">
        <f>V60-N60</f>
        <v>-0.79889120502611988</v>
      </c>
      <c r="Y60" s="158"/>
      <c r="Z60" s="158"/>
      <c r="AA60" s="158"/>
    </row>
    <row r="61" spans="1:27">
      <c r="A61" s="176"/>
      <c r="B61" s="166" t="s">
        <v>482</v>
      </c>
      <c r="C61" s="176"/>
      <c r="D61" s="176" t="s">
        <v>484</v>
      </c>
      <c r="E61" s="176"/>
      <c r="F61" s="276">
        <f>SUM(F59:F60)</f>
        <v>403.56250899999998</v>
      </c>
      <c r="G61" s="176"/>
      <c r="H61" s="276">
        <f>SUM(H59:H60)</f>
        <v>33.991704999999996</v>
      </c>
      <c r="I61" s="276"/>
      <c r="J61" s="276">
        <f>SUM(J59:J60)</f>
        <v>369.57080400000001</v>
      </c>
      <c r="K61" s="276"/>
      <c r="L61" s="275"/>
      <c r="M61" s="285"/>
      <c r="N61" s="276">
        <f>SUM(N59:N60)</f>
        <v>32.024801742712782</v>
      </c>
      <c r="O61" s="285"/>
      <c r="P61" s="297">
        <f>SUM(P59:P60)</f>
        <v>1</v>
      </c>
      <c r="Q61" s="285"/>
      <c r="R61" s="290"/>
      <c r="S61" s="285"/>
      <c r="T61" s="276">
        <f>SUM(T59:T60)</f>
        <v>369.57080400000001</v>
      </c>
      <c r="U61" s="285"/>
      <c r="V61" s="298">
        <f>SUM(V59:V60)</f>
        <v>31.487458824288719</v>
      </c>
      <c r="W61" s="285"/>
      <c r="X61" s="276">
        <f>SUM(X59:X60)</f>
        <v>-0.53734291842406101</v>
      </c>
      <c r="Y61" s="158"/>
      <c r="Z61" s="367"/>
      <c r="AA61" s="158"/>
    </row>
    <row r="62" spans="1:27">
      <c r="A62" s="176"/>
      <c r="B62" s="176"/>
      <c r="C62" s="176"/>
      <c r="D62" s="176"/>
      <c r="E62" s="176"/>
      <c r="F62" s="176"/>
      <c r="G62" s="176"/>
      <c r="H62" s="276"/>
      <c r="I62" s="276"/>
      <c r="J62" s="276"/>
      <c r="K62" s="276"/>
      <c r="L62" s="276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158"/>
      <c r="Z62" s="158"/>
      <c r="AA62" s="158"/>
    </row>
    <row r="63" spans="1:27">
      <c r="A63" s="176"/>
      <c r="B63" s="166" t="s">
        <v>498</v>
      </c>
      <c r="C63" s="176"/>
      <c r="D63" s="166" t="s">
        <v>476</v>
      </c>
      <c r="E63" s="176"/>
      <c r="F63" s="276">
        <v>278.605458</v>
      </c>
      <c r="G63" s="176"/>
      <c r="H63" s="276">
        <v>45.475532999999999</v>
      </c>
      <c r="I63" s="276"/>
      <c r="J63" s="276">
        <f>F63-H63</f>
        <v>233.12992500000001</v>
      </c>
      <c r="K63" s="276"/>
      <c r="L63" s="275">
        <v>25.84</v>
      </c>
      <c r="M63" s="285"/>
      <c r="N63" s="285">
        <f>J63/L63</f>
        <v>9.0220559210526314</v>
      </c>
      <c r="O63" s="285"/>
      <c r="P63" s="286">
        <f>F63/F65</f>
        <v>0.59710286521826561</v>
      </c>
      <c r="Q63" s="285"/>
      <c r="R63" s="285">
        <f>H65*P63</f>
        <v>36.818432080589858</v>
      </c>
      <c r="S63" s="285"/>
      <c r="T63" s="285">
        <f>F63-R63</f>
        <v>241.78702591941015</v>
      </c>
      <c r="U63" s="285"/>
      <c r="V63" s="285">
        <f>T63/L63</f>
        <v>9.3570830464168022</v>
      </c>
      <c r="W63" s="285"/>
      <c r="X63" s="285">
        <f>V63-N63</f>
        <v>0.33502712536417079</v>
      </c>
      <c r="Y63" s="158"/>
      <c r="Z63" s="158"/>
      <c r="AA63" s="158"/>
    </row>
    <row r="64" spans="1:27">
      <c r="A64" s="176"/>
      <c r="B64" s="166" t="s">
        <v>498</v>
      </c>
      <c r="C64" s="176"/>
      <c r="D64" s="166" t="s">
        <v>485</v>
      </c>
      <c r="E64" s="176"/>
      <c r="F64" s="279">
        <v>187.98995500000001</v>
      </c>
      <c r="G64" s="176"/>
      <c r="H64" s="279">
        <v>16.186257999999999</v>
      </c>
      <c r="I64" s="276"/>
      <c r="J64" s="279">
        <f>F64-H64</f>
        <v>171.803697</v>
      </c>
      <c r="K64" s="276"/>
      <c r="L64" s="280">
        <v>7.4</v>
      </c>
      <c r="M64" s="285"/>
      <c r="N64" s="288">
        <f>J64/L64</f>
        <v>23.216715810810811</v>
      </c>
      <c r="O64" s="285"/>
      <c r="P64" s="289">
        <f>F64/F65</f>
        <v>0.40289713478173433</v>
      </c>
      <c r="Q64" s="285"/>
      <c r="R64" s="285">
        <f>H65*P64</f>
        <v>24.843358919410132</v>
      </c>
      <c r="S64" s="285"/>
      <c r="T64" s="288">
        <f>F64-R64</f>
        <v>163.14659608058989</v>
      </c>
      <c r="U64" s="285"/>
      <c r="V64" s="288">
        <f>T64/L64</f>
        <v>22.046837308187822</v>
      </c>
      <c r="W64" s="285"/>
      <c r="X64" s="288">
        <f>V64-N64</f>
        <v>-1.1698785026229892</v>
      </c>
      <c r="Y64" s="158"/>
      <c r="Z64" s="158"/>
      <c r="AA64" s="158"/>
    </row>
    <row r="65" spans="1:27">
      <c r="A65" s="176"/>
      <c r="B65" s="166" t="s">
        <v>482</v>
      </c>
      <c r="C65" s="176"/>
      <c r="D65" s="176" t="s">
        <v>484</v>
      </c>
      <c r="E65" s="176"/>
      <c r="F65" s="276">
        <f>SUM(F63:F64)</f>
        <v>466.59541300000001</v>
      </c>
      <c r="G65" s="176"/>
      <c r="H65" s="276">
        <f>SUM(H63:H64)</f>
        <v>61.661790999999994</v>
      </c>
      <c r="I65" s="276"/>
      <c r="J65" s="276">
        <f>SUM(J63:J64)</f>
        <v>404.93362200000001</v>
      </c>
      <c r="K65" s="276"/>
      <c r="L65" s="275"/>
      <c r="M65" s="285"/>
      <c r="N65" s="276">
        <f>SUM(N63:N64)</f>
        <v>32.238771731863444</v>
      </c>
      <c r="O65" s="285"/>
      <c r="P65" s="297">
        <f>SUM(P63:P64)</f>
        <v>1</v>
      </c>
      <c r="Q65" s="285"/>
      <c r="R65" s="290"/>
      <c r="S65" s="285"/>
      <c r="T65" s="276">
        <f>SUM(T63:T64)</f>
        <v>404.93362200000001</v>
      </c>
      <c r="U65" s="285"/>
      <c r="V65" s="298">
        <f>SUM(V63:V64)</f>
        <v>31.403920354604622</v>
      </c>
      <c r="W65" s="285"/>
      <c r="X65" s="276">
        <f>SUM(X63:X64)</f>
        <v>-0.83485137725881842</v>
      </c>
      <c r="Y65" s="158"/>
      <c r="Z65" s="367"/>
      <c r="AA65" s="158"/>
    </row>
    <row r="66" spans="1:27">
      <c r="A66" s="176"/>
      <c r="B66" s="166"/>
      <c r="C66" s="176"/>
      <c r="D66" s="176"/>
      <c r="E66" s="176"/>
      <c r="F66" s="276"/>
      <c r="G66" s="176"/>
      <c r="H66" s="276"/>
      <c r="I66" s="276"/>
      <c r="J66" s="276"/>
      <c r="K66" s="276"/>
      <c r="L66" s="275"/>
      <c r="M66" s="285"/>
      <c r="N66" s="291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158"/>
      <c r="Z66" s="158"/>
      <c r="AA66" s="158"/>
    </row>
    <row r="67" spans="1:27">
      <c r="A67" s="176"/>
      <c r="B67" s="166" t="s">
        <v>499</v>
      </c>
      <c r="C67" s="176"/>
      <c r="D67" s="166" t="s">
        <v>476</v>
      </c>
      <c r="E67" s="176"/>
      <c r="F67" s="276">
        <v>31.305861</v>
      </c>
      <c r="G67" s="176"/>
      <c r="H67" s="276">
        <v>2.1511140000000002</v>
      </c>
      <c r="I67" s="276"/>
      <c r="J67" s="276">
        <f>F67-H67</f>
        <v>29.154747</v>
      </c>
      <c r="K67" s="276"/>
      <c r="L67" s="275">
        <v>29.39</v>
      </c>
      <c r="M67" s="285"/>
      <c r="N67" s="285">
        <f>J67/L67</f>
        <v>0.99199547465124194</v>
      </c>
      <c r="O67" s="285"/>
      <c r="P67" s="286">
        <f>F67/F69</f>
        <v>0.19804079057429952</v>
      </c>
      <c r="Q67" s="285"/>
      <c r="R67" s="285">
        <f>H69*P67</f>
        <v>3.7264299809031236</v>
      </c>
      <c r="S67" s="285"/>
      <c r="T67" s="285">
        <f>F67-R67</f>
        <v>27.579431019096877</v>
      </c>
      <c r="U67" s="285"/>
      <c r="V67" s="285">
        <f>T67/L67</f>
        <v>0.93839506699887298</v>
      </c>
      <c r="W67" s="285"/>
      <c r="X67" s="285">
        <f>V67-N67</f>
        <v>-5.3600407652368953E-2</v>
      </c>
      <c r="Y67" s="158"/>
      <c r="Z67" s="158"/>
      <c r="AA67" s="158"/>
    </row>
    <row r="68" spans="1:27">
      <c r="A68" s="176"/>
      <c r="B68" s="166" t="s">
        <v>499</v>
      </c>
      <c r="C68" s="176"/>
      <c r="D68" s="166" t="s">
        <v>485</v>
      </c>
      <c r="E68" s="176"/>
      <c r="F68" s="279">
        <v>126.77198199999999</v>
      </c>
      <c r="G68" s="176"/>
      <c r="H68" s="279">
        <v>16.665362999999999</v>
      </c>
      <c r="I68" s="276"/>
      <c r="J68" s="279">
        <f>F68-H68</f>
        <v>110.10661899999999</v>
      </c>
      <c r="K68" s="276"/>
      <c r="L68" s="280">
        <v>6.89</v>
      </c>
      <c r="M68" s="285"/>
      <c r="N68" s="288">
        <f>J68/L68</f>
        <v>15.980641364296082</v>
      </c>
      <c r="O68" s="285"/>
      <c r="P68" s="289">
        <f>F68/F69</f>
        <v>0.80195920942570043</v>
      </c>
      <c r="Q68" s="285"/>
      <c r="R68" s="285">
        <f>H69*P68</f>
        <v>15.090047019096874</v>
      </c>
      <c r="S68" s="285"/>
      <c r="T68" s="288">
        <f>F68-R68</f>
        <v>111.68193498090312</v>
      </c>
      <c r="U68" s="285"/>
      <c r="V68" s="288">
        <f>T68/L68</f>
        <v>16.209279387649222</v>
      </c>
      <c r="W68" s="285"/>
      <c r="X68" s="288">
        <f>V68-N68</f>
        <v>0.22863802335313999</v>
      </c>
      <c r="Y68" s="158"/>
      <c r="Z68" s="158"/>
      <c r="AA68" s="158"/>
    </row>
    <row r="69" spans="1:27">
      <c r="A69" s="176"/>
      <c r="B69" s="166" t="s">
        <v>482</v>
      </c>
      <c r="C69" s="176"/>
      <c r="D69" s="176" t="s">
        <v>484</v>
      </c>
      <c r="E69" s="176"/>
      <c r="F69" s="276">
        <f>SUM(F67:F68)</f>
        <v>158.077843</v>
      </c>
      <c r="G69" s="176"/>
      <c r="H69" s="276">
        <f>SUM(H67:H68)</f>
        <v>18.816476999999999</v>
      </c>
      <c r="I69" s="276"/>
      <c r="J69" s="276">
        <f>SUM(J67:J68)</f>
        <v>139.26136600000001</v>
      </c>
      <c r="K69" s="276"/>
      <c r="L69" s="275"/>
      <c r="M69" s="285"/>
      <c r="N69" s="276">
        <f>SUM(N67:N68)</f>
        <v>16.972636838947324</v>
      </c>
      <c r="O69" s="285"/>
      <c r="P69" s="297">
        <f>SUM(P67:P68)</f>
        <v>1</v>
      </c>
      <c r="Q69" s="285"/>
      <c r="R69" s="290"/>
      <c r="S69" s="285"/>
      <c r="T69" s="276">
        <f>SUM(T67:T68)</f>
        <v>139.26136600000001</v>
      </c>
      <c r="U69" s="285"/>
      <c r="V69" s="298">
        <f>SUM(V67:V68)</f>
        <v>17.147674454648094</v>
      </c>
      <c r="W69" s="285"/>
      <c r="X69" s="276">
        <f>SUM(X67:X68)</f>
        <v>0.17503761570077103</v>
      </c>
      <c r="Y69" s="158"/>
      <c r="Z69" s="367"/>
      <c r="AA69" s="158"/>
    </row>
    <row r="70" spans="1:27">
      <c r="A70" s="176"/>
      <c r="B70" s="166"/>
      <c r="C70" s="176"/>
      <c r="D70" s="176"/>
      <c r="E70" s="176"/>
      <c r="F70" s="276"/>
      <c r="G70" s="176"/>
      <c r="H70" s="276"/>
      <c r="I70" s="276"/>
      <c r="J70" s="276"/>
      <c r="K70" s="276"/>
      <c r="L70" s="275"/>
      <c r="M70" s="285"/>
      <c r="N70" s="291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158"/>
      <c r="Z70" s="158"/>
      <c r="AA70" s="158"/>
    </row>
    <row r="71" spans="1:27">
      <c r="A71" s="176"/>
      <c r="B71" s="166" t="s">
        <v>500</v>
      </c>
      <c r="C71" s="176"/>
      <c r="D71" s="166" t="s">
        <v>476</v>
      </c>
      <c r="E71" s="176"/>
      <c r="F71" s="276">
        <v>302.83179899999999</v>
      </c>
      <c r="G71" s="176"/>
      <c r="H71" s="276">
        <v>-12.320142000000001</v>
      </c>
      <c r="I71" s="276"/>
      <c r="J71" s="276">
        <f>F71-H71</f>
        <v>315.15194099999997</v>
      </c>
      <c r="K71" s="276"/>
      <c r="L71" s="275">
        <v>27.4</v>
      </c>
      <c r="M71" s="285"/>
      <c r="N71" s="285">
        <f>J71/L71</f>
        <v>11.501895656934305</v>
      </c>
      <c r="O71" s="285"/>
      <c r="P71" s="286">
        <f>F71/F73</f>
        <v>0.7869635121934182</v>
      </c>
      <c r="Q71" s="285"/>
      <c r="R71" s="285">
        <f>H73*P71</f>
        <v>-12.790039489864213</v>
      </c>
      <c r="S71" s="285"/>
      <c r="T71" s="285">
        <f>F71-R71</f>
        <v>315.62183848986422</v>
      </c>
      <c r="U71" s="285"/>
      <c r="V71" s="285">
        <f>T71/L71</f>
        <v>11.519045200360008</v>
      </c>
      <c r="W71" s="285"/>
      <c r="X71" s="285">
        <f>V71-N71</f>
        <v>1.7149543425702518E-2</v>
      </c>
      <c r="Y71" s="158"/>
      <c r="Z71" s="158"/>
      <c r="AA71" s="158"/>
    </row>
    <row r="72" spans="1:27">
      <c r="A72" s="176"/>
      <c r="B72" s="166" t="s">
        <v>500</v>
      </c>
      <c r="C72" s="176"/>
      <c r="D72" s="166" t="s">
        <v>485</v>
      </c>
      <c r="E72" s="176"/>
      <c r="F72" s="279">
        <v>81.978671000000006</v>
      </c>
      <c r="G72" s="176"/>
      <c r="H72" s="279">
        <v>-3.9322499999999998</v>
      </c>
      <c r="I72" s="276"/>
      <c r="J72" s="279">
        <f>F72-H72</f>
        <v>85.910921000000002</v>
      </c>
      <c r="K72" s="276"/>
      <c r="L72" s="280">
        <v>5.91</v>
      </c>
      <c r="M72" s="285"/>
      <c r="N72" s="288">
        <f>J72/L72</f>
        <v>14.536534856175972</v>
      </c>
      <c r="O72" s="285"/>
      <c r="P72" s="289">
        <f>F72/F73</f>
        <v>0.21303648780658177</v>
      </c>
      <c r="Q72" s="285"/>
      <c r="R72" s="285">
        <f>H73*P72</f>
        <v>-3.462352510135787</v>
      </c>
      <c r="S72" s="285"/>
      <c r="T72" s="288">
        <f>F72-R72</f>
        <v>85.441023510135793</v>
      </c>
      <c r="U72" s="285"/>
      <c r="V72" s="288">
        <f>T72/L72</f>
        <v>14.457025974642265</v>
      </c>
      <c r="W72" s="285"/>
      <c r="X72" s="288">
        <f>V72-N72</f>
        <v>-7.9508881533707054E-2</v>
      </c>
      <c r="Y72" s="158"/>
      <c r="Z72" s="158"/>
      <c r="AA72" s="158"/>
    </row>
    <row r="73" spans="1:27">
      <c r="A73" s="176"/>
      <c r="B73" s="166" t="s">
        <v>482</v>
      </c>
      <c r="C73" s="176"/>
      <c r="D73" s="176" t="s">
        <v>484</v>
      </c>
      <c r="E73" s="176"/>
      <c r="F73" s="276">
        <f>SUM(F71:F72)</f>
        <v>384.81047000000001</v>
      </c>
      <c r="G73" s="176"/>
      <c r="H73" s="276">
        <f>SUM(H71:H72)</f>
        <v>-16.252392</v>
      </c>
      <c r="I73" s="276"/>
      <c r="J73" s="276">
        <f>SUM(J71:J72)</f>
        <v>401.062862</v>
      </c>
      <c r="K73" s="276"/>
      <c r="L73" s="275"/>
      <c r="M73" s="285"/>
      <c r="N73" s="276">
        <f>SUM(N71:N72)</f>
        <v>26.038430513110278</v>
      </c>
      <c r="O73" s="285"/>
      <c r="P73" s="297">
        <f>SUM(P71:P72)</f>
        <v>1</v>
      </c>
      <c r="Q73" s="285"/>
      <c r="R73" s="290"/>
      <c r="S73" s="285"/>
      <c r="T73" s="276">
        <f>SUM(T71:T72)</f>
        <v>401.062862</v>
      </c>
      <c r="U73" s="285"/>
      <c r="V73" s="298">
        <f>SUM(V71:V72)</f>
        <v>25.976071175002275</v>
      </c>
      <c r="W73" s="285"/>
      <c r="X73" s="276">
        <f>SUM(X71:X72)</f>
        <v>-6.2359338108004536E-2</v>
      </c>
      <c r="Y73" s="158"/>
      <c r="Z73" s="367"/>
      <c r="AA73" s="158"/>
    </row>
    <row r="74" spans="1:27">
      <c r="A74" s="176"/>
      <c r="B74" s="166"/>
      <c r="C74" s="176"/>
      <c r="D74" s="176"/>
      <c r="E74" s="176"/>
      <c r="F74" s="176"/>
      <c r="G74" s="176"/>
      <c r="H74" s="276"/>
      <c r="I74" s="276"/>
      <c r="J74" s="276"/>
      <c r="K74" s="276"/>
      <c r="L74" s="276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158"/>
      <c r="Z74" s="158"/>
      <c r="AA74" s="158"/>
    </row>
    <row r="75" spans="1:27">
      <c r="A75" s="176"/>
      <c r="B75" s="166" t="s">
        <v>501</v>
      </c>
      <c r="C75" s="176"/>
      <c r="D75" s="166" t="s">
        <v>476</v>
      </c>
      <c r="E75" s="176"/>
      <c r="F75" s="276">
        <v>257.77257600000002</v>
      </c>
      <c r="G75" s="176"/>
      <c r="H75" s="276">
        <v>25.698198999999999</v>
      </c>
      <c r="I75" s="276"/>
      <c r="J75" s="276">
        <f>F75-H75</f>
        <v>232.07437700000003</v>
      </c>
      <c r="K75" s="276"/>
      <c r="L75" s="275">
        <v>27.39</v>
      </c>
      <c r="M75" s="285"/>
      <c r="N75" s="285">
        <f>J75/L75</f>
        <v>8.4729600949251562</v>
      </c>
      <c r="O75" s="285"/>
      <c r="P75" s="286">
        <f>F75/F77</f>
        <v>0.63229855545740965</v>
      </c>
      <c r="Q75" s="285"/>
      <c r="R75" s="285">
        <f>H77*P75</f>
        <v>27.508559649235657</v>
      </c>
      <c r="S75" s="285"/>
      <c r="T75" s="285">
        <f>F75-R75</f>
        <v>230.26401635076436</v>
      </c>
      <c r="U75" s="285"/>
      <c r="V75" s="285">
        <f>T75/L75</f>
        <v>8.4068644158731054</v>
      </c>
      <c r="W75" s="285"/>
      <c r="X75" s="285">
        <f>V75-N75</f>
        <v>-6.6095679052050826E-2</v>
      </c>
      <c r="Y75" s="158"/>
      <c r="Z75" s="158"/>
      <c r="AA75" s="158"/>
    </row>
    <row r="76" spans="1:27">
      <c r="A76" s="176"/>
      <c r="B76" s="166" t="s">
        <v>501</v>
      </c>
      <c r="C76" s="176"/>
      <c r="D76" s="166" t="s">
        <v>485</v>
      </c>
      <c r="E76" s="176"/>
      <c r="F76" s="279">
        <v>149.902839</v>
      </c>
      <c r="G76" s="176"/>
      <c r="H76" s="279">
        <v>17.807451</v>
      </c>
      <c r="I76" s="276"/>
      <c r="J76" s="279">
        <f>F76-H76</f>
        <v>132.09538800000001</v>
      </c>
      <c r="K76" s="276"/>
      <c r="L76" s="280">
        <v>5.84</v>
      </c>
      <c r="M76" s="285"/>
      <c r="N76" s="288">
        <f>J76/L76</f>
        <v>22.619073287671235</v>
      </c>
      <c r="O76" s="285"/>
      <c r="P76" s="289">
        <f>F76/F77</f>
        <v>0.36770144454259029</v>
      </c>
      <c r="Q76" s="285"/>
      <c r="R76" s="285">
        <f>H77*P76</f>
        <v>15.997090350764344</v>
      </c>
      <c r="S76" s="285"/>
      <c r="T76" s="288">
        <f>F76-R76</f>
        <v>133.90574864923565</v>
      </c>
      <c r="U76" s="285"/>
      <c r="V76" s="288">
        <f>T76/L76</f>
        <v>22.929066549526652</v>
      </c>
      <c r="W76" s="285"/>
      <c r="X76" s="288">
        <f>V76-N76</f>
        <v>0.30999326185541776</v>
      </c>
      <c r="Y76" s="158"/>
      <c r="Z76" s="158"/>
      <c r="AA76" s="158"/>
    </row>
    <row r="77" spans="1:27">
      <c r="A77" s="176"/>
      <c r="B77" s="166" t="s">
        <v>482</v>
      </c>
      <c r="C77" s="176"/>
      <c r="D77" s="176" t="s">
        <v>484</v>
      </c>
      <c r="E77" s="176"/>
      <c r="F77" s="276">
        <f>SUM(F75:F76)</f>
        <v>407.67541500000004</v>
      </c>
      <c r="G77" s="176"/>
      <c r="H77" s="276">
        <f>SUM(H75:H76)</f>
        <v>43.505650000000003</v>
      </c>
      <c r="I77" s="276"/>
      <c r="J77" s="276">
        <f>SUM(J75:J76)</f>
        <v>364.16976500000004</v>
      </c>
      <c r="K77" s="276"/>
      <c r="L77" s="275"/>
      <c r="M77" s="285"/>
      <c r="N77" s="276">
        <f>SUM(N75:N76)</f>
        <v>31.092033382596391</v>
      </c>
      <c r="O77" s="285"/>
      <c r="P77" s="297">
        <f>SUM(P75:P76)</f>
        <v>1</v>
      </c>
      <c r="Q77" s="285"/>
      <c r="R77" s="290"/>
      <c r="S77" s="285"/>
      <c r="T77" s="276">
        <f>SUM(T75:T76)</f>
        <v>364.16976499999998</v>
      </c>
      <c r="U77" s="285"/>
      <c r="V77" s="298">
        <f>SUM(V75:V76)</f>
        <v>31.335930965399758</v>
      </c>
      <c r="W77" s="285"/>
      <c r="X77" s="276">
        <f>SUM(X75:X76)</f>
        <v>0.24389758280336693</v>
      </c>
      <c r="Y77" s="158"/>
      <c r="Z77" s="367"/>
      <c r="AA77" s="158"/>
    </row>
    <row r="78" spans="1:27">
      <c r="A78" s="176"/>
      <c r="B78" s="176"/>
      <c r="C78" s="176"/>
      <c r="D78" s="176"/>
      <c r="E78" s="176"/>
      <c r="F78" s="176"/>
      <c r="G78" s="176"/>
      <c r="H78" s="276"/>
      <c r="I78" s="276"/>
      <c r="J78" s="276"/>
      <c r="K78" s="276"/>
      <c r="L78" s="276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158"/>
      <c r="Z78" s="158"/>
      <c r="AA78" s="158"/>
    </row>
    <row r="79" spans="1:27">
      <c r="A79" s="176"/>
      <c r="B79" s="166" t="s">
        <v>502</v>
      </c>
      <c r="C79" s="176"/>
      <c r="D79" s="166" t="s">
        <v>476</v>
      </c>
      <c r="E79" s="176"/>
      <c r="F79" s="276">
        <v>506.388398</v>
      </c>
      <c r="G79" s="176"/>
      <c r="H79" s="276">
        <v>29.212173</v>
      </c>
      <c r="I79" s="276"/>
      <c r="J79" s="276">
        <f>F79-H79</f>
        <v>477.17622499999999</v>
      </c>
      <c r="K79" s="276"/>
      <c r="L79" s="275">
        <v>28.99</v>
      </c>
      <c r="M79" s="285"/>
      <c r="N79" s="285">
        <f>J79/L79</f>
        <v>16.460028458088996</v>
      </c>
      <c r="O79" s="285"/>
      <c r="P79" s="286">
        <f>F79/F81</f>
        <v>0.85766661242444653</v>
      </c>
      <c r="Q79" s="285"/>
      <c r="R79" s="285">
        <f>H81*P79</f>
        <v>29.314143405057926</v>
      </c>
      <c r="S79" s="285"/>
      <c r="T79" s="285">
        <f>F79-R79</f>
        <v>477.07425459494209</v>
      </c>
      <c r="U79" s="285"/>
      <c r="V79" s="285">
        <f>T79/L79</f>
        <v>16.456511024316733</v>
      </c>
      <c r="W79" s="285"/>
      <c r="X79" s="285">
        <f>V79-N79</f>
        <v>-3.51743377226299E-3</v>
      </c>
      <c r="Y79" s="158"/>
      <c r="Z79" s="158"/>
      <c r="AA79" s="158"/>
    </row>
    <row r="80" spans="1:27">
      <c r="A80" s="176"/>
      <c r="B80" s="166" t="s">
        <v>502</v>
      </c>
      <c r="C80" s="176"/>
      <c r="D80" s="166" t="s">
        <v>485</v>
      </c>
      <c r="E80" s="176"/>
      <c r="F80" s="279">
        <v>84.037288000000004</v>
      </c>
      <c r="G80" s="176"/>
      <c r="H80" s="279">
        <v>4.9667760000000003</v>
      </c>
      <c r="I80" s="276"/>
      <c r="J80" s="279">
        <f>F80-H80</f>
        <v>79.070512000000008</v>
      </c>
      <c r="K80" s="276"/>
      <c r="L80" s="280">
        <v>6.9</v>
      </c>
      <c r="M80" s="285"/>
      <c r="N80" s="288">
        <f>J80/L80</f>
        <v>11.459494492753624</v>
      </c>
      <c r="O80" s="285"/>
      <c r="P80" s="289">
        <f>F80/F81</f>
        <v>0.14233338757555342</v>
      </c>
      <c r="Q80" s="285"/>
      <c r="R80" s="285">
        <f>H81*P80</f>
        <v>4.8648055949420739</v>
      </c>
      <c r="S80" s="285"/>
      <c r="T80" s="288">
        <f>F80-R80</f>
        <v>79.172482405057934</v>
      </c>
      <c r="U80" s="285"/>
      <c r="V80" s="288">
        <f>T80/L80</f>
        <v>11.474272812327236</v>
      </c>
      <c r="W80" s="285"/>
      <c r="X80" s="288">
        <f>V80-N80</f>
        <v>1.4778319573611753E-2</v>
      </c>
      <c r="Y80" s="158"/>
      <c r="Z80" s="158"/>
      <c r="AA80" s="158"/>
    </row>
    <row r="81" spans="1:27">
      <c r="A81" s="176"/>
      <c r="B81" s="166" t="s">
        <v>482</v>
      </c>
      <c r="C81" s="176"/>
      <c r="D81" s="176" t="s">
        <v>484</v>
      </c>
      <c r="E81" s="176"/>
      <c r="F81" s="276">
        <f>SUM(F79:F80)</f>
        <v>590.42568600000004</v>
      </c>
      <c r="G81" s="176"/>
      <c r="H81" s="276">
        <f>SUM(H79:H80)</f>
        <v>34.178949000000003</v>
      </c>
      <c r="I81" s="276"/>
      <c r="J81" s="276">
        <f>SUM(J79:J80)</f>
        <v>556.24673699999994</v>
      </c>
      <c r="K81" s="276"/>
      <c r="L81" s="275"/>
      <c r="M81" s="285"/>
      <c r="N81" s="276">
        <f>SUM(N79:N80)</f>
        <v>27.919522950842619</v>
      </c>
      <c r="O81" s="285"/>
      <c r="P81" s="297">
        <f>SUM(P79:P80)</f>
        <v>1</v>
      </c>
      <c r="Q81" s="285"/>
      <c r="R81" s="290"/>
      <c r="S81" s="285"/>
      <c r="T81" s="276">
        <f>SUM(T79:T80)</f>
        <v>556.24673700000005</v>
      </c>
      <c r="U81" s="285"/>
      <c r="V81" s="298">
        <f>SUM(V79:V80)</f>
        <v>27.930783836643968</v>
      </c>
      <c r="W81" s="285"/>
      <c r="X81" s="276">
        <f>SUM(X79:X80)</f>
        <v>1.1260885801348763E-2</v>
      </c>
      <c r="Y81" s="158"/>
      <c r="Z81" s="367"/>
      <c r="AA81" s="158"/>
    </row>
    <row r="82" spans="1:27">
      <c r="A82" s="176"/>
      <c r="B82" s="166"/>
      <c r="C82" s="176"/>
      <c r="D82" s="176"/>
      <c r="E82" s="176"/>
      <c r="F82" s="276"/>
      <c r="G82" s="176"/>
      <c r="H82" s="276"/>
      <c r="I82" s="276"/>
      <c r="J82" s="276"/>
      <c r="K82" s="276"/>
      <c r="L82" s="275"/>
      <c r="M82" s="285"/>
      <c r="N82" s="291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158"/>
      <c r="Z82" s="158"/>
      <c r="AA82" s="158"/>
    </row>
    <row r="83" spans="1:27">
      <c r="A83" s="176"/>
      <c r="B83" s="166" t="s">
        <v>503</v>
      </c>
      <c r="C83" s="176"/>
      <c r="D83" s="166" t="s">
        <v>476</v>
      </c>
      <c r="E83" s="176"/>
      <c r="F83" s="276">
        <v>400.91390799999999</v>
      </c>
      <c r="G83" s="176"/>
      <c r="H83" s="276">
        <v>38.175123999999997</v>
      </c>
      <c r="I83" s="276"/>
      <c r="J83" s="276">
        <f>F83-H83</f>
        <v>362.73878400000001</v>
      </c>
      <c r="K83" s="276"/>
      <c r="L83" s="275">
        <v>30.59</v>
      </c>
      <c r="M83" s="285"/>
      <c r="N83" s="285">
        <f>J83/L83</f>
        <v>11.858083818241255</v>
      </c>
      <c r="O83" s="285"/>
      <c r="P83" s="286">
        <f>F83/F85</f>
        <v>0.63608241833008083</v>
      </c>
      <c r="Q83" s="285"/>
      <c r="R83" s="285">
        <f>H85*P83</f>
        <v>40.596926715987621</v>
      </c>
      <c r="S83" s="285"/>
      <c r="T83" s="285">
        <f>F83-R83</f>
        <v>360.3169812840124</v>
      </c>
      <c r="U83" s="285"/>
      <c r="V83" s="285">
        <f>T83/L83</f>
        <v>11.77891406616582</v>
      </c>
      <c r="W83" s="285"/>
      <c r="X83" s="285">
        <f>V83-N83</f>
        <v>-7.9169752075435085E-2</v>
      </c>
      <c r="Y83" s="158"/>
      <c r="Z83" s="158"/>
      <c r="AA83" s="158"/>
    </row>
    <row r="84" spans="1:27">
      <c r="A84" s="176"/>
      <c r="B84" s="166" t="s">
        <v>503</v>
      </c>
      <c r="C84" s="176"/>
      <c r="D84" s="166" t="s">
        <v>485</v>
      </c>
      <c r="E84" s="176"/>
      <c r="F84" s="279">
        <v>229.37219400000001</v>
      </c>
      <c r="G84" s="176"/>
      <c r="H84" s="279">
        <v>25.648250999999998</v>
      </c>
      <c r="I84" s="276"/>
      <c r="J84" s="279">
        <f>F84-H84</f>
        <v>203.72394300000002</v>
      </c>
      <c r="K84" s="276"/>
      <c r="L84" s="280">
        <v>7.28</v>
      </c>
      <c r="M84" s="285"/>
      <c r="N84" s="288">
        <f>J84/L84</f>
        <v>27.984058104395608</v>
      </c>
      <c r="O84" s="285"/>
      <c r="P84" s="289">
        <f>F84/F85</f>
        <v>0.36391758166991917</v>
      </c>
      <c r="Q84" s="285"/>
      <c r="R84" s="285">
        <f>H85*P84</f>
        <v>23.226448284012378</v>
      </c>
      <c r="S84" s="285"/>
      <c r="T84" s="288">
        <f>F84-R84</f>
        <v>206.14574571598763</v>
      </c>
      <c r="U84" s="285"/>
      <c r="V84" s="288">
        <f>T84/L84</f>
        <v>28.316723312635663</v>
      </c>
      <c r="W84" s="285"/>
      <c r="X84" s="288">
        <f>V84-N84</f>
        <v>0.33266520824005497</v>
      </c>
      <c r="Y84" s="158"/>
      <c r="Z84" s="158"/>
      <c r="AA84" s="158"/>
    </row>
    <row r="85" spans="1:27">
      <c r="A85" s="176"/>
      <c r="B85" s="166" t="s">
        <v>482</v>
      </c>
      <c r="C85" s="176"/>
      <c r="D85" s="176" t="s">
        <v>484</v>
      </c>
      <c r="E85" s="176"/>
      <c r="F85" s="276">
        <f>SUM(F83:F84)</f>
        <v>630.28610200000003</v>
      </c>
      <c r="G85" s="176"/>
      <c r="H85" s="276">
        <f>SUM(H83:H84)</f>
        <v>63.823374999999999</v>
      </c>
      <c r="I85" s="276"/>
      <c r="J85" s="276">
        <f>SUM(J83:J84)</f>
        <v>566.46272700000009</v>
      </c>
      <c r="K85" s="276"/>
      <c r="L85" s="275"/>
      <c r="M85" s="285"/>
      <c r="N85" s="276">
        <f>SUM(N83:N84)</f>
        <v>39.842141922636863</v>
      </c>
      <c r="O85" s="285"/>
      <c r="P85" s="297">
        <f>SUM(P83:P84)</f>
        <v>1</v>
      </c>
      <c r="Q85" s="285"/>
      <c r="R85" s="290"/>
      <c r="S85" s="285"/>
      <c r="T85" s="276">
        <f>SUM(T83:T84)</f>
        <v>566.46272700000009</v>
      </c>
      <c r="U85" s="285"/>
      <c r="V85" s="298">
        <f>SUM(V83:V84)</f>
        <v>40.095637378801484</v>
      </c>
      <c r="W85" s="285"/>
      <c r="X85" s="276">
        <f>SUM(X83:X84)</f>
        <v>0.25349545616461988</v>
      </c>
      <c r="Y85" s="158"/>
      <c r="Z85" s="367"/>
      <c r="AA85" s="158"/>
    </row>
    <row r="86" spans="1:27">
      <c r="A86" s="176"/>
      <c r="B86" s="166"/>
      <c r="C86" s="176"/>
      <c r="D86" s="176"/>
      <c r="E86" s="176"/>
      <c r="F86" s="176"/>
      <c r="G86" s="176"/>
      <c r="H86" s="276"/>
      <c r="I86" s="276"/>
      <c r="J86" s="276"/>
      <c r="K86" s="276"/>
      <c r="L86" s="276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158"/>
      <c r="Z86" s="158"/>
      <c r="AA86" s="158"/>
    </row>
    <row r="87" spans="1:27">
      <c r="A87" s="176"/>
      <c r="B87" s="166" t="s">
        <v>504</v>
      </c>
      <c r="C87" s="176"/>
      <c r="D87" s="166" t="s">
        <v>476</v>
      </c>
      <c r="E87" s="176"/>
      <c r="F87" s="276">
        <v>533.78014399999995</v>
      </c>
      <c r="G87" s="176"/>
      <c r="H87" s="276">
        <v>51.780970000000003</v>
      </c>
      <c r="I87" s="276"/>
      <c r="J87" s="276">
        <f>F87-H87</f>
        <v>481.99917399999993</v>
      </c>
      <c r="K87" s="276"/>
      <c r="L87" s="275">
        <v>31.39</v>
      </c>
      <c r="M87" s="285"/>
      <c r="N87" s="285">
        <f>J87/L87</f>
        <v>15.355182351067215</v>
      </c>
      <c r="O87" s="285"/>
      <c r="P87" s="286">
        <f>F87/F89</f>
        <v>0.79277602387999124</v>
      </c>
      <c r="Q87" s="285"/>
      <c r="R87" s="285">
        <f>H89*P87</f>
        <v>58.46741806351497</v>
      </c>
      <c r="S87" s="285"/>
      <c r="T87" s="285">
        <f>F87-R87</f>
        <v>475.31272593648498</v>
      </c>
      <c r="U87" s="285"/>
      <c r="V87" s="285">
        <f>T87/L87</f>
        <v>15.142170306992194</v>
      </c>
      <c r="W87" s="285"/>
      <c r="X87" s="285">
        <f>V87-N87</f>
        <v>-0.21301204407502183</v>
      </c>
      <c r="Y87" s="158"/>
      <c r="Z87" s="158"/>
      <c r="AA87" s="158"/>
    </row>
    <row r="88" spans="1:27">
      <c r="A88" s="176"/>
      <c r="B88" s="166" t="s">
        <v>504</v>
      </c>
      <c r="C88" s="176"/>
      <c r="D88" s="166" t="s">
        <v>485</v>
      </c>
      <c r="E88" s="176"/>
      <c r="F88" s="279">
        <v>139.52496099999999</v>
      </c>
      <c r="G88" s="176"/>
      <c r="H88" s="279">
        <v>21.969265</v>
      </c>
      <c r="I88" s="276"/>
      <c r="J88" s="279">
        <f>F88-H88</f>
        <v>117.55569599999998</v>
      </c>
      <c r="K88" s="276"/>
      <c r="L88" s="280">
        <v>7.12</v>
      </c>
      <c r="M88" s="285"/>
      <c r="N88" s="288">
        <f>J88/L88</f>
        <v>16.510631460674155</v>
      </c>
      <c r="O88" s="285"/>
      <c r="P88" s="289">
        <f>F88/F89</f>
        <v>0.20722397612000878</v>
      </c>
      <c r="Q88" s="285"/>
      <c r="R88" s="285">
        <f>H89*P88</f>
        <v>15.282816936485037</v>
      </c>
      <c r="S88" s="285"/>
      <c r="T88" s="288">
        <f>F88-R88</f>
        <v>124.24214406351496</v>
      </c>
      <c r="U88" s="285"/>
      <c r="V88" s="288">
        <f>T88/L88</f>
        <v>17.449739334763336</v>
      </c>
      <c r="W88" s="285"/>
      <c r="X88" s="288">
        <f>V88-N88</f>
        <v>0.93910787408918139</v>
      </c>
      <c r="Y88" s="158"/>
      <c r="Z88" s="158"/>
      <c r="AA88" s="158"/>
    </row>
    <row r="89" spans="1:27">
      <c r="A89" s="176"/>
      <c r="B89" s="166" t="s">
        <v>482</v>
      </c>
      <c r="C89" s="176"/>
      <c r="D89" s="176" t="s">
        <v>484</v>
      </c>
      <c r="E89" s="176"/>
      <c r="F89" s="276">
        <f>SUM(F87:F88)</f>
        <v>673.30510499999991</v>
      </c>
      <c r="G89" s="176"/>
      <c r="H89" s="276">
        <f>SUM(H87:H88)</f>
        <v>73.750235000000004</v>
      </c>
      <c r="I89" s="276"/>
      <c r="J89" s="276">
        <f>SUM(J87:J88)</f>
        <v>599.55486999999994</v>
      </c>
      <c r="K89" s="276"/>
      <c r="L89" s="275"/>
      <c r="M89" s="285"/>
      <c r="N89" s="276">
        <f>SUM(N87:N88)</f>
        <v>31.865813811741369</v>
      </c>
      <c r="O89" s="285"/>
      <c r="P89" s="297">
        <f>SUM(P87:P88)</f>
        <v>1</v>
      </c>
      <c r="Q89" s="285"/>
      <c r="R89" s="290"/>
      <c r="S89" s="285"/>
      <c r="T89" s="276">
        <f>SUM(T87:T88)</f>
        <v>599.55486999999994</v>
      </c>
      <c r="U89" s="285"/>
      <c r="V89" s="298">
        <f>SUM(V87:V88)</f>
        <v>32.591909641755528</v>
      </c>
      <c r="W89" s="285"/>
      <c r="X89" s="276">
        <f>SUM(X87:X88)</f>
        <v>0.72609583001415956</v>
      </c>
      <c r="Y89" s="158"/>
      <c r="Z89" s="367"/>
      <c r="AA89" s="158"/>
    </row>
    <row r="90" spans="1:27">
      <c r="A90" s="176"/>
      <c r="B90" s="176"/>
      <c r="C90" s="176"/>
      <c r="D90" s="176"/>
      <c r="E90" s="176"/>
      <c r="F90" s="176"/>
      <c r="G90" s="176"/>
      <c r="H90" s="276"/>
      <c r="I90" s="276"/>
      <c r="J90" s="276"/>
      <c r="K90" s="276"/>
      <c r="L90" s="276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158"/>
      <c r="Z90" s="158"/>
      <c r="AA90" s="158"/>
    </row>
    <row r="91" spans="1:27">
      <c r="A91" s="176"/>
      <c r="B91" s="166" t="s">
        <v>505</v>
      </c>
      <c r="C91" s="176"/>
      <c r="D91" s="166" t="s">
        <v>476</v>
      </c>
      <c r="E91" s="176"/>
      <c r="F91" s="276">
        <v>518.62221699999998</v>
      </c>
      <c r="G91" s="176"/>
      <c r="H91" s="276">
        <v>21.854510999999999</v>
      </c>
      <c r="I91" s="276"/>
      <c r="J91" s="276">
        <f>F91-H91</f>
        <v>496.76770599999998</v>
      </c>
      <c r="K91" s="276"/>
      <c r="L91" s="275">
        <v>33.03</v>
      </c>
      <c r="M91" s="285"/>
      <c r="N91" s="285">
        <f>J91/L91</f>
        <v>15.039894217378141</v>
      </c>
      <c r="O91" s="285"/>
      <c r="P91" s="286">
        <f>F91/F93</f>
        <v>0.73046883429420539</v>
      </c>
      <c r="Q91" s="285"/>
      <c r="R91" s="285">
        <f>H93*P91</f>
        <v>27.59966554821094</v>
      </c>
      <c r="S91" s="285"/>
      <c r="T91" s="285">
        <f>F91-R91</f>
        <v>491.02255145178901</v>
      </c>
      <c r="U91" s="285"/>
      <c r="V91" s="285">
        <f>T91/L91</f>
        <v>14.865956749978475</v>
      </c>
      <c r="W91" s="285"/>
      <c r="X91" s="285">
        <f>V91-N91</f>
        <v>-0.17393746739966609</v>
      </c>
      <c r="Y91" s="158"/>
      <c r="Z91" s="158"/>
      <c r="AA91" s="158"/>
    </row>
    <row r="92" spans="1:27">
      <c r="A92" s="176"/>
      <c r="B92" s="166" t="s">
        <v>505</v>
      </c>
      <c r="C92" s="176"/>
      <c r="D92" s="166" t="s">
        <v>485</v>
      </c>
      <c r="E92" s="176"/>
      <c r="F92" s="279">
        <v>191.36319599999999</v>
      </c>
      <c r="G92" s="176"/>
      <c r="H92" s="279">
        <v>15.928984</v>
      </c>
      <c r="I92" s="276"/>
      <c r="J92" s="279">
        <f>F92-H92</f>
        <v>175.434212</v>
      </c>
      <c r="K92" s="276"/>
      <c r="L92" s="280">
        <v>8.01</v>
      </c>
      <c r="M92" s="285"/>
      <c r="N92" s="288">
        <f>J92/L92</f>
        <v>21.901899126092385</v>
      </c>
      <c r="O92" s="285"/>
      <c r="P92" s="289">
        <f>F92/F93</f>
        <v>0.26953116570579455</v>
      </c>
      <c r="Q92" s="285"/>
      <c r="R92" s="285">
        <f>H93*P92</f>
        <v>10.183829451789061</v>
      </c>
      <c r="S92" s="285"/>
      <c r="T92" s="288">
        <f>F92-R92</f>
        <v>181.17936654821094</v>
      </c>
      <c r="U92" s="285"/>
      <c r="V92" s="288">
        <f>T92/L92</f>
        <v>22.619146884920216</v>
      </c>
      <c r="W92" s="285"/>
      <c r="X92" s="288">
        <f>V92-N92</f>
        <v>0.71724775882783121</v>
      </c>
      <c r="Y92" s="158"/>
      <c r="Z92" s="158"/>
      <c r="AA92" s="158"/>
    </row>
    <row r="93" spans="1:27">
      <c r="A93" s="176"/>
      <c r="B93" s="166" t="s">
        <v>482</v>
      </c>
      <c r="C93" s="176"/>
      <c r="D93" s="176" t="s">
        <v>484</v>
      </c>
      <c r="E93" s="176"/>
      <c r="F93" s="276">
        <f>SUM(F91:F92)</f>
        <v>709.98541299999999</v>
      </c>
      <c r="G93" s="176"/>
      <c r="H93" s="276">
        <f>SUM(H91:H92)</f>
        <v>37.783495000000002</v>
      </c>
      <c r="I93" s="276"/>
      <c r="J93" s="276">
        <f>SUM(J91:J92)</f>
        <v>672.20191799999998</v>
      </c>
      <c r="K93" s="276"/>
      <c r="L93" s="275"/>
      <c r="M93" s="285"/>
      <c r="N93" s="276">
        <f>SUM(N91:N92)</f>
        <v>36.941793343470522</v>
      </c>
      <c r="O93" s="285"/>
      <c r="P93" s="297">
        <f>SUM(P91:P92)</f>
        <v>1</v>
      </c>
      <c r="Q93" s="285"/>
      <c r="R93" s="290"/>
      <c r="S93" s="285"/>
      <c r="T93" s="276">
        <f>SUM(T91:T92)</f>
        <v>672.20191799999998</v>
      </c>
      <c r="U93" s="285"/>
      <c r="V93" s="298">
        <f>SUM(V91:V92)</f>
        <v>37.485103634898692</v>
      </c>
      <c r="W93" s="285"/>
      <c r="X93" s="276">
        <f>SUM(X91:X92)</f>
        <v>0.54331029142816512</v>
      </c>
      <c r="Y93" s="158"/>
      <c r="Z93" s="367"/>
      <c r="AA93" s="158"/>
    </row>
    <row r="94" spans="1:27">
      <c r="A94" s="166" t="s">
        <v>507</v>
      </c>
      <c r="B94" s="166"/>
      <c r="C94" s="176"/>
      <c r="D94" s="176"/>
      <c r="E94" s="176"/>
      <c r="F94" s="276"/>
      <c r="G94" s="176"/>
      <c r="H94" s="276"/>
      <c r="I94" s="276"/>
      <c r="J94" s="276"/>
      <c r="K94" s="276"/>
      <c r="L94" s="275"/>
      <c r="M94" s="285"/>
      <c r="N94" s="291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158"/>
      <c r="Z94" s="158"/>
      <c r="AA94" s="158"/>
    </row>
    <row r="95" spans="1:27">
      <c r="A95" s="176"/>
      <c r="B95" s="166" t="s">
        <v>506</v>
      </c>
      <c r="C95" s="176"/>
      <c r="D95" s="166" t="s">
        <v>476</v>
      </c>
      <c r="E95" s="176"/>
      <c r="F95" s="276">
        <v>14.841925</v>
      </c>
      <c r="G95" s="176"/>
      <c r="H95" s="276">
        <v>2.1881840000000001</v>
      </c>
      <c r="I95" s="276"/>
      <c r="J95" s="276">
        <f>F95-H95</f>
        <v>12.653741</v>
      </c>
      <c r="K95" s="276"/>
      <c r="L95" s="275">
        <v>10.14</v>
      </c>
      <c r="M95" s="285"/>
      <c r="N95" s="285">
        <f>J95/L95</f>
        <v>1.2479034516765286</v>
      </c>
      <c r="O95" s="285"/>
      <c r="P95" s="286">
        <f>F95/F97</f>
        <v>0.88870056016800258</v>
      </c>
      <c r="Q95" s="285"/>
      <c r="R95" s="285">
        <f>H97*P95</f>
        <v>2.4524669528452221</v>
      </c>
      <c r="S95" s="285"/>
      <c r="T95" s="285">
        <f>F95-R95</f>
        <v>12.389458047154777</v>
      </c>
      <c r="U95" s="285"/>
      <c r="V95" s="285">
        <f>T95/L95</f>
        <v>1.2218400440981041</v>
      </c>
      <c r="W95" s="285"/>
      <c r="X95" s="285">
        <f>V95-N95</f>
        <v>-2.6063407578424513E-2</v>
      </c>
      <c r="Y95" s="158"/>
      <c r="Z95" s="158"/>
      <c r="AA95" s="158"/>
    </row>
    <row r="96" spans="1:27">
      <c r="A96" s="176"/>
      <c r="B96" s="166" t="s">
        <v>506</v>
      </c>
      <c r="C96" s="176"/>
      <c r="D96" s="166" t="s">
        <v>485</v>
      </c>
      <c r="E96" s="176"/>
      <c r="F96" s="279">
        <v>1.858779</v>
      </c>
      <c r="G96" s="176"/>
      <c r="H96" s="279">
        <v>0.57142599999999999</v>
      </c>
      <c r="I96" s="276"/>
      <c r="J96" s="279">
        <f>F96-H96</f>
        <v>1.287353</v>
      </c>
      <c r="K96" s="276"/>
      <c r="L96" s="280">
        <v>7.6</v>
      </c>
      <c r="M96" s="285"/>
      <c r="N96" s="288">
        <f>J96/L96</f>
        <v>0.16938855263157895</v>
      </c>
      <c r="O96" s="285"/>
      <c r="P96" s="289">
        <f>F96/F97</f>
        <v>0.11129943983199751</v>
      </c>
      <c r="Q96" s="285"/>
      <c r="R96" s="285">
        <f>H97*P96</f>
        <v>0.30714304715477869</v>
      </c>
      <c r="S96" s="285"/>
      <c r="T96" s="288">
        <f>F96-R96</f>
        <v>1.5516359528452213</v>
      </c>
      <c r="U96" s="285"/>
      <c r="V96" s="288">
        <f>T96/L96</f>
        <v>0.20416262537437124</v>
      </c>
      <c r="W96" s="285"/>
      <c r="X96" s="288">
        <f>V96-N96</f>
        <v>3.4774072742792289E-2</v>
      </c>
      <c r="Y96" s="158"/>
      <c r="Z96" s="158"/>
      <c r="AA96" s="158"/>
    </row>
    <row r="97" spans="1:27">
      <c r="A97" s="176"/>
      <c r="B97" s="166" t="s">
        <v>482</v>
      </c>
      <c r="C97" s="176"/>
      <c r="D97" s="176" t="s">
        <v>484</v>
      </c>
      <c r="E97" s="176"/>
      <c r="F97" s="276">
        <f>SUM(F95:F96)</f>
        <v>16.700703999999998</v>
      </c>
      <c r="G97" s="176"/>
      <c r="H97" s="276">
        <f>SUM(H95:H96)</f>
        <v>2.7596100000000003</v>
      </c>
      <c r="I97" s="276"/>
      <c r="J97" s="276">
        <f>SUM(J95:J96)</f>
        <v>13.941094</v>
      </c>
      <c r="K97" s="276"/>
      <c r="L97" s="275"/>
      <c r="M97" s="285"/>
      <c r="N97" s="276">
        <f>SUM(N95:N96)</f>
        <v>1.4172920043081076</v>
      </c>
      <c r="O97" s="285"/>
      <c r="P97" s="297">
        <f>SUM(P95:P96)</f>
        <v>1</v>
      </c>
      <c r="Q97" s="285"/>
      <c r="R97" s="290"/>
      <c r="S97" s="285"/>
      <c r="T97" s="276">
        <f>SUM(T95:T96)</f>
        <v>13.941093999999998</v>
      </c>
      <c r="U97" s="285"/>
      <c r="V97" s="298">
        <f>SUM(V95:V96)</f>
        <v>1.4260026694724752</v>
      </c>
      <c r="W97" s="285"/>
      <c r="X97" s="276">
        <f>SUM(X95:X96)</f>
        <v>8.7106651643677757E-3</v>
      </c>
      <c r="Y97" s="158"/>
      <c r="Z97" s="367"/>
      <c r="AA97" s="158"/>
    </row>
    <row r="98" spans="1:27">
      <c r="A98" s="176"/>
      <c r="B98" s="166"/>
      <c r="C98" s="176"/>
      <c r="D98" s="176"/>
      <c r="E98" s="176"/>
      <c r="F98" s="176"/>
      <c r="G98" s="176"/>
      <c r="H98" s="276"/>
      <c r="I98" s="276"/>
      <c r="J98" s="276"/>
      <c r="K98" s="276"/>
      <c r="L98" s="276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158"/>
      <c r="Z98" s="158"/>
      <c r="AA98" s="158"/>
    </row>
    <row r="99" spans="1:27">
      <c r="A99" s="176"/>
      <c r="B99" s="166" t="s">
        <v>508</v>
      </c>
      <c r="C99" s="176"/>
      <c r="D99" s="166" t="s">
        <v>476</v>
      </c>
      <c r="E99" s="176"/>
      <c r="F99" s="276">
        <v>10.218902999999999</v>
      </c>
      <c r="G99" s="176"/>
      <c r="H99" s="276">
        <v>1.769584</v>
      </c>
      <c r="I99" s="276"/>
      <c r="J99" s="276">
        <f>F99-H99</f>
        <v>8.4493189999999991</v>
      </c>
      <c r="K99" s="276"/>
      <c r="L99" s="275">
        <v>10.14</v>
      </c>
      <c r="M99" s="285"/>
      <c r="N99" s="285">
        <f>J99/L99</f>
        <v>0.83326617357001964</v>
      </c>
      <c r="O99" s="285"/>
      <c r="P99" s="286">
        <f>F99/F101</f>
        <v>0.78450058106872111</v>
      </c>
      <c r="Q99" s="285"/>
      <c r="R99" s="285">
        <f>H101*P99</f>
        <v>2.3373692732570661</v>
      </c>
      <c r="S99" s="285"/>
      <c r="T99" s="285">
        <f>F99-R99</f>
        <v>7.8815337267429335</v>
      </c>
      <c r="U99" s="285"/>
      <c r="V99" s="285">
        <f>T99/L99</f>
        <v>0.77727157068470742</v>
      </c>
      <c r="W99" s="285"/>
      <c r="X99" s="285">
        <f>V99-N99</f>
        <v>-5.5994602885312217E-2</v>
      </c>
      <c r="Y99" s="158"/>
      <c r="Z99" s="158"/>
      <c r="AA99" s="158"/>
    </row>
    <row r="100" spans="1:27">
      <c r="A100" s="176"/>
      <c r="B100" s="166" t="s">
        <v>508</v>
      </c>
      <c r="C100" s="176"/>
      <c r="D100" s="166" t="s">
        <v>485</v>
      </c>
      <c r="E100" s="176"/>
      <c r="F100" s="279">
        <v>2.8070949999999999</v>
      </c>
      <c r="G100" s="176"/>
      <c r="H100" s="279">
        <v>1.2098519999999999</v>
      </c>
      <c r="I100" s="276"/>
      <c r="J100" s="279">
        <f>F100-H100</f>
        <v>1.597243</v>
      </c>
      <c r="K100" s="276"/>
      <c r="L100" s="280">
        <v>5.72</v>
      </c>
      <c r="M100" s="285"/>
      <c r="N100" s="288">
        <f>J100/L100</f>
        <v>0.27923828671328671</v>
      </c>
      <c r="O100" s="285"/>
      <c r="P100" s="289">
        <f>F100/F101</f>
        <v>0.21549941893127883</v>
      </c>
      <c r="Q100" s="285"/>
      <c r="R100" s="285">
        <f>H101*P100</f>
        <v>0.64206672674293364</v>
      </c>
      <c r="S100" s="285"/>
      <c r="T100" s="288">
        <f>F100-R100</f>
        <v>2.1650282732570663</v>
      </c>
      <c r="U100" s="285"/>
      <c r="V100" s="288">
        <f>T100/L100</f>
        <v>0.37850144637361299</v>
      </c>
      <c r="W100" s="285"/>
      <c r="X100" s="288">
        <f>V100-N100</f>
        <v>9.9263159660326283E-2</v>
      </c>
      <c r="Y100" s="158"/>
      <c r="Z100" s="158"/>
      <c r="AA100" s="158"/>
    </row>
    <row r="101" spans="1:27">
      <c r="A101" s="176"/>
      <c r="B101" s="166" t="s">
        <v>482</v>
      </c>
      <c r="C101" s="176"/>
      <c r="D101" s="176" t="s">
        <v>484</v>
      </c>
      <c r="E101" s="176"/>
      <c r="F101" s="276">
        <f>SUM(F99:F100)</f>
        <v>13.025998</v>
      </c>
      <c r="G101" s="176"/>
      <c r="H101" s="276">
        <f>SUM(H99:H100)</f>
        <v>2.9794359999999998</v>
      </c>
      <c r="I101" s="276"/>
      <c r="J101" s="276">
        <f>SUM(J99:J100)</f>
        <v>10.046562</v>
      </c>
      <c r="K101" s="276"/>
      <c r="L101" s="275"/>
      <c r="M101" s="285"/>
      <c r="N101" s="276">
        <f>SUM(N99:N100)</f>
        <v>1.1125044602833063</v>
      </c>
      <c r="O101" s="285"/>
      <c r="P101" s="297">
        <f>SUM(P99:P100)</f>
        <v>1</v>
      </c>
      <c r="Q101" s="285"/>
      <c r="R101" s="290"/>
      <c r="S101" s="285"/>
      <c r="T101" s="276">
        <f>SUM(T99:T100)</f>
        <v>10.046562</v>
      </c>
      <c r="U101" s="285"/>
      <c r="V101" s="298">
        <f>SUM(V99:V100)</f>
        <v>1.1557730170583205</v>
      </c>
      <c r="W101" s="285"/>
      <c r="X101" s="276">
        <f>SUM(X99:X100)</f>
        <v>4.3268556775014066E-2</v>
      </c>
      <c r="Y101" s="158"/>
      <c r="Z101" s="367"/>
      <c r="AA101" s="158"/>
    </row>
    <row r="102" spans="1:27">
      <c r="A102" s="176"/>
      <c r="B102" s="176"/>
      <c r="C102" s="176"/>
      <c r="D102" s="176"/>
      <c r="E102" s="176"/>
      <c r="F102" s="176"/>
      <c r="G102" s="176"/>
      <c r="H102" s="276"/>
      <c r="I102" s="276"/>
      <c r="J102" s="276"/>
      <c r="K102" s="276"/>
      <c r="L102" s="276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158"/>
      <c r="Z102" s="158"/>
      <c r="AA102" s="158"/>
    </row>
    <row r="103" spans="1:27">
      <c r="A103" s="176"/>
      <c r="B103" s="166" t="s">
        <v>509</v>
      </c>
      <c r="C103" s="176"/>
      <c r="D103" s="166" t="s">
        <v>476</v>
      </c>
      <c r="E103" s="176"/>
      <c r="F103" s="276">
        <v>226.79734199999999</v>
      </c>
      <c r="G103" s="176"/>
      <c r="H103" s="276">
        <v>8.0261960000000006</v>
      </c>
      <c r="I103" s="276"/>
      <c r="J103" s="276">
        <f>F103-H103</f>
        <v>218.77114599999999</v>
      </c>
      <c r="K103" s="276"/>
      <c r="L103" s="275">
        <v>33.03</v>
      </c>
      <c r="M103" s="285"/>
      <c r="N103" s="285">
        <f>J103/L103</f>
        <v>6.6234073872237351</v>
      </c>
      <c r="O103" s="285"/>
      <c r="P103" s="286">
        <f>F103/F105</f>
        <v>0.73003083235089983</v>
      </c>
      <c r="Q103" s="285"/>
      <c r="R103" s="285">
        <f>H105*P103</f>
        <v>7.8047764193726152</v>
      </c>
      <c r="S103" s="285"/>
      <c r="T103" s="285">
        <f>F103-R103</f>
        <v>218.99256558062737</v>
      </c>
      <c r="U103" s="285"/>
      <c r="V103" s="285">
        <f>T103/L103</f>
        <v>6.6301109773123637</v>
      </c>
      <c r="W103" s="285"/>
      <c r="X103" s="285">
        <f>V103-N103</f>
        <v>6.7035900886285305E-3</v>
      </c>
      <c r="Y103" s="158"/>
      <c r="Z103" s="158"/>
      <c r="AA103" s="158"/>
    </row>
    <row r="104" spans="1:27">
      <c r="A104" s="176"/>
      <c r="B104" s="166" t="s">
        <v>509</v>
      </c>
      <c r="C104" s="176"/>
      <c r="D104" s="166" t="s">
        <v>485</v>
      </c>
      <c r="E104" s="176"/>
      <c r="F104" s="279">
        <v>83.870827000000006</v>
      </c>
      <c r="G104" s="176"/>
      <c r="H104" s="279">
        <v>2.6648269999999998</v>
      </c>
      <c r="I104" s="276"/>
      <c r="J104" s="279">
        <f>F104-H104</f>
        <v>81.206000000000003</v>
      </c>
      <c r="K104" s="276"/>
      <c r="L104" s="280">
        <v>23.58</v>
      </c>
      <c r="M104" s="285"/>
      <c r="N104" s="288">
        <f>J104/L104</f>
        <v>3.4438507209499578</v>
      </c>
      <c r="O104" s="285"/>
      <c r="P104" s="289">
        <f>F104/F105</f>
        <v>0.26996916764910028</v>
      </c>
      <c r="Q104" s="285"/>
      <c r="R104" s="285">
        <f>H105*P104</f>
        <v>2.8862465806273874</v>
      </c>
      <c r="S104" s="285"/>
      <c r="T104" s="288">
        <f>F104-R104</f>
        <v>80.98458041937262</v>
      </c>
      <c r="U104" s="285"/>
      <c r="V104" s="288">
        <f>T104/L104</f>
        <v>3.4344605775815364</v>
      </c>
      <c r="W104" s="285"/>
      <c r="X104" s="288">
        <f>V104-N104</f>
        <v>-9.3901433684213664E-3</v>
      </c>
      <c r="Y104" s="158"/>
      <c r="Z104" s="158"/>
      <c r="AA104" s="158"/>
    </row>
    <row r="105" spans="1:27">
      <c r="A105" s="176"/>
      <c r="B105" s="166" t="s">
        <v>482</v>
      </c>
      <c r="C105" s="176"/>
      <c r="D105" s="176" t="s">
        <v>484</v>
      </c>
      <c r="E105" s="176"/>
      <c r="F105" s="276">
        <f>SUM(F103:F104)</f>
        <v>310.66816899999998</v>
      </c>
      <c r="G105" s="176"/>
      <c r="H105" s="276">
        <f>SUM(H103:H104)</f>
        <v>10.691023000000001</v>
      </c>
      <c r="I105" s="276"/>
      <c r="J105" s="276">
        <f>SUM(J103:J104)</f>
        <v>299.977146</v>
      </c>
      <c r="K105" s="276"/>
      <c r="L105" s="275"/>
      <c r="M105" s="285"/>
      <c r="N105" s="276">
        <f>SUM(N103:N104)</f>
        <v>10.067258108173693</v>
      </c>
      <c r="O105" s="285"/>
      <c r="P105" s="297">
        <f>SUM(P103:P104)</f>
        <v>1</v>
      </c>
      <c r="Q105" s="285"/>
      <c r="R105" s="290"/>
      <c r="S105" s="285"/>
      <c r="T105" s="276">
        <f>SUM(T103:T104)</f>
        <v>299.977146</v>
      </c>
      <c r="U105" s="285"/>
      <c r="V105" s="298">
        <f>SUM(V103:V104)</f>
        <v>10.064571554893901</v>
      </c>
      <c r="W105" s="285"/>
      <c r="X105" s="276">
        <f>SUM(X103:X104)</f>
        <v>-2.686553279792836E-3</v>
      </c>
      <c r="Y105" s="158"/>
      <c r="Z105" s="367"/>
      <c r="AA105" s="158"/>
    </row>
    <row r="106" spans="1:27">
      <c r="A106" s="176"/>
      <c r="B106" s="166"/>
      <c r="C106" s="176"/>
      <c r="D106" s="176"/>
      <c r="E106" s="176"/>
      <c r="F106" s="276"/>
      <c r="G106" s="176"/>
      <c r="H106" s="276"/>
      <c r="I106" s="276"/>
      <c r="J106" s="276"/>
      <c r="K106" s="276"/>
      <c r="L106" s="275"/>
      <c r="M106" s="278"/>
      <c r="N106" s="276"/>
      <c r="O106" s="278"/>
      <c r="P106" s="276"/>
      <c r="Q106" s="278"/>
      <c r="R106" s="282"/>
      <c r="S106" s="278"/>
      <c r="T106" s="276"/>
      <c r="U106" s="278"/>
      <c r="V106" s="283"/>
      <c r="W106" s="278"/>
      <c r="X106" s="276"/>
      <c r="Y106" s="158"/>
      <c r="Z106" s="158"/>
      <c r="AA106" s="158"/>
    </row>
    <row r="107" spans="1:27">
      <c r="A107" s="176"/>
      <c r="B107" s="166"/>
      <c r="C107" s="176"/>
      <c r="D107" s="176"/>
      <c r="E107" s="176"/>
      <c r="F107" s="276"/>
      <c r="G107" s="176"/>
      <c r="H107" s="276"/>
      <c r="I107" s="276"/>
      <c r="J107" s="276"/>
      <c r="K107" s="276"/>
      <c r="L107" s="275"/>
      <c r="M107" s="278"/>
      <c r="N107" s="276"/>
      <c r="O107" s="278"/>
      <c r="P107" s="276"/>
      <c r="Q107" s="278"/>
      <c r="R107" s="282"/>
      <c r="S107" s="278"/>
      <c r="T107" s="276"/>
      <c r="U107" s="278"/>
      <c r="V107" s="283"/>
      <c r="W107" s="278"/>
      <c r="X107" s="276"/>
      <c r="Y107" s="158"/>
      <c r="Z107" s="158"/>
      <c r="AA107" s="158"/>
    </row>
    <row r="108" spans="1:27">
      <c r="A108" s="176"/>
      <c r="B108" s="176"/>
      <c r="C108" s="176"/>
      <c r="D108" s="176"/>
      <c r="E108" s="176"/>
      <c r="F108" s="176"/>
      <c r="G108" s="176"/>
      <c r="H108" s="276"/>
      <c r="I108" s="276"/>
      <c r="J108" s="276"/>
      <c r="K108" s="276"/>
      <c r="L108" s="276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158"/>
      <c r="Z108" s="158"/>
      <c r="AA108" s="158"/>
    </row>
    <row r="109" spans="1:27">
      <c r="A109" s="176"/>
      <c r="B109" s="176"/>
      <c r="C109" s="176"/>
      <c r="D109" s="176"/>
      <c r="E109" s="176"/>
      <c r="F109" s="176"/>
      <c r="G109" s="176"/>
      <c r="H109" s="276"/>
      <c r="I109" s="276"/>
      <c r="J109" s="276"/>
      <c r="K109" s="276"/>
      <c r="L109" s="276"/>
      <c r="M109" s="278"/>
      <c r="N109" s="278"/>
      <c r="O109" s="278"/>
      <c r="P109" s="278"/>
      <c r="Q109" s="278"/>
      <c r="R109" s="278" t="s">
        <v>510</v>
      </c>
      <c r="S109" s="278"/>
      <c r="T109" s="278"/>
      <c r="U109" s="278"/>
      <c r="V109" s="278"/>
      <c r="W109" s="278"/>
      <c r="X109" s="278">
        <f>X105+X101+X97+X93+X89+X85+X81+X77+X73+X69+X65+X61+X57+X53+X49+X45+X41+X37+X33+X29+X25+X21+X17+X13</f>
        <v>-5.7926015986268489</v>
      </c>
      <c r="Y109" s="158"/>
      <c r="Z109" s="158"/>
      <c r="AA109" s="158"/>
    </row>
    <row r="110" spans="1:27">
      <c r="A110" s="176"/>
      <c r="B110" s="176"/>
      <c r="C110" s="176"/>
      <c r="D110" s="176"/>
      <c r="E110" s="176"/>
      <c r="F110" s="176"/>
      <c r="G110" s="176"/>
      <c r="H110" s="276"/>
      <c r="I110" s="276"/>
      <c r="J110" s="276"/>
      <c r="K110" s="276"/>
      <c r="L110" s="276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158"/>
      <c r="Z110" s="158"/>
      <c r="AA110" s="158"/>
    </row>
    <row r="111" spans="1:27">
      <c r="A111" s="176"/>
      <c r="B111" s="176"/>
      <c r="C111" s="176"/>
      <c r="D111" s="176"/>
      <c r="E111" s="176"/>
      <c r="F111" s="176"/>
      <c r="G111" s="176"/>
      <c r="H111" s="276"/>
      <c r="I111" s="276"/>
      <c r="J111" s="276"/>
      <c r="K111" s="276"/>
      <c r="L111" s="276"/>
      <c r="M111" s="278"/>
      <c r="N111" s="278"/>
      <c r="O111" s="278"/>
      <c r="P111" s="278"/>
      <c r="Q111" s="278"/>
      <c r="R111" s="278" t="s">
        <v>511</v>
      </c>
      <c r="S111" s="278"/>
      <c r="T111" s="278"/>
      <c r="U111" s="278"/>
      <c r="V111" s="278"/>
      <c r="W111" s="278"/>
      <c r="X111" s="293">
        <f>'Exh. LK-11 (Pages 1-3)'!R19</f>
        <v>0.95042000000000004</v>
      </c>
      <c r="Y111" s="158"/>
      <c r="Z111" s="158"/>
      <c r="AA111" s="158"/>
    </row>
    <row r="112" spans="1:27">
      <c r="A112" s="176"/>
      <c r="B112" s="176"/>
      <c r="C112" s="176"/>
      <c r="D112" s="176"/>
      <c r="E112" s="176"/>
      <c r="F112" s="176"/>
      <c r="G112" s="176"/>
      <c r="H112" s="276"/>
      <c r="I112" s="276"/>
      <c r="J112" s="276"/>
      <c r="K112" s="276"/>
      <c r="L112" s="276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158"/>
      <c r="Z112" s="158"/>
      <c r="AA112" s="158"/>
    </row>
    <row r="113" spans="1:27" ht="13.5" thickBot="1">
      <c r="A113" s="176"/>
      <c r="B113" s="176"/>
      <c r="C113" s="176"/>
      <c r="D113" s="176"/>
      <c r="E113" s="176"/>
      <c r="F113" s="176"/>
      <c r="G113" s="176"/>
      <c r="H113" s="276"/>
      <c r="I113" s="276"/>
      <c r="J113" s="276"/>
      <c r="K113" s="276"/>
      <c r="L113" s="276"/>
      <c r="M113" s="278"/>
      <c r="N113" s="278"/>
      <c r="O113" s="278"/>
      <c r="P113" s="278"/>
      <c r="Q113" s="278"/>
      <c r="R113" s="278" t="s">
        <v>416</v>
      </c>
      <c r="S113" s="278"/>
      <c r="T113" s="278"/>
      <c r="U113" s="278"/>
      <c r="V113" s="278"/>
      <c r="W113" s="278"/>
      <c r="X113" s="294">
        <f>X109*X111</f>
        <v>-5.5054044113669303</v>
      </c>
      <c r="Y113" s="158"/>
      <c r="Z113" s="158"/>
      <c r="AA113" s="158"/>
    </row>
    <row r="114" spans="1:27" ht="13.5" thickTop="1">
      <c r="A114" s="176"/>
      <c r="B114" s="176"/>
      <c r="C114" s="176"/>
      <c r="D114" s="176"/>
      <c r="E114" s="176"/>
      <c r="F114" s="176"/>
      <c r="G114" s="176"/>
      <c r="H114" s="276"/>
      <c r="I114" s="276"/>
      <c r="J114" s="276"/>
      <c r="K114" s="276"/>
      <c r="L114" s="276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158"/>
      <c r="Z114" s="158"/>
      <c r="AA114" s="158"/>
    </row>
    <row r="115" spans="1:27">
      <c r="A115" s="29"/>
      <c r="B115" s="42"/>
      <c r="C115" s="42"/>
      <c r="D115" s="45"/>
      <c r="E115" s="45"/>
      <c r="F115" s="45"/>
      <c r="G115" s="45"/>
      <c r="H115" s="45"/>
      <c r="I115" s="42"/>
      <c r="J115" s="42"/>
      <c r="K115" s="42"/>
      <c r="L115" s="177"/>
      <c r="N115" s="29"/>
      <c r="R115" s="10"/>
    </row>
    <row r="116" spans="1:27">
      <c r="A116" s="29"/>
      <c r="B116" s="42"/>
      <c r="C116" s="42"/>
      <c r="D116" s="45"/>
      <c r="E116" s="45"/>
      <c r="F116" s="45"/>
      <c r="G116" s="45"/>
      <c r="H116" s="45"/>
      <c r="I116" s="42"/>
      <c r="J116" s="42"/>
      <c r="K116" s="42"/>
      <c r="L116" s="177"/>
      <c r="N116" s="29"/>
      <c r="P116" s="11">
        <v>2017</v>
      </c>
      <c r="R116" s="10"/>
      <c r="T116" s="193">
        <v>2018</v>
      </c>
    </row>
    <row r="117" spans="1:27">
      <c r="A117" s="29"/>
      <c r="B117" s="167" t="s">
        <v>424</v>
      </c>
      <c r="C117" s="42"/>
      <c r="D117" s="45"/>
      <c r="E117" s="45"/>
      <c r="F117" s="45"/>
      <c r="G117" s="45"/>
      <c r="H117" s="45"/>
      <c r="I117" s="42"/>
      <c r="J117" s="42"/>
      <c r="K117" s="42"/>
      <c r="L117" s="177"/>
      <c r="N117" s="29"/>
      <c r="P117" s="88">
        <f>-X113</f>
        <v>5.5054044113669303</v>
      </c>
      <c r="R117" s="10"/>
      <c r="T117" s="45">
        <f>-X113</f>
        <v>5.5054044113669303</v>
      </c>
    </row>
    <row r="118" spans="1:27">
      <c r="A118" s="29"/>
      <c r="B118" s="167" t="s">
        <v>468</v>
      </c>
      <c r="C118" s="42"/>
      <c r="D118" s="45"/>
      <c r="E118" s="45"/>
      <c r="F118" s="45"/>
      <c r="G118" s="45"/>
      <c r="H118" s="45"/>
      <c r="I118" s="42"/>
      <c r="J118" s="42"/>
      <c r="K118" s="42"/>
      <c r="L118" s="177"/>
      <c r="N118" s="29"/>
      <c r="P118" s="196">
        <f>-P117*0.38575</f>
        <v>-2.1237097516847934</v>
      </c>
      <c r="R118" s="10"/>
      <c r="T118" s="198">
        <f>-T117*0.38575</f>
        <v>-2.1237097516847934</v>
      </c>
    </row>
    <row r="119" spans="1:27">
      <c r="A119" s="29"/>
      <c r="B119" s="167" t="s">
        <v>426</v>
      </c>
      <c r="C119" s="42"/>
      <c r="D119" s="45"/>
      <c r="E119" s="45"/>
      <c r="F119" s="45"/>
      <c r="G119" s="45"/>
      <c r="H119" s="45"/>
      <c r="I119" s="42"/>
      <c r="J119" s="42"/>
      <c r="K119" s="42"/>
      <c r="L119" s="177"/>
      <c r="N119" s="29"/>
      <c r="P119" s="88">
        <f>SUM(P117:P118)</f>
        <v>3.3816946596821369</v>
      </c>
      <c r="R119" s="10"/>
      <c r="T119" s="45">
        <f>SUM(T117:T118)</f>
        <v>3.3816946596821369</v>
      </c>
    </row>
    <row r="120" spans="1:27">
      <c r="A120" s="29"/>
      <c r="B120" s="167"/>
      <c r="C120" s="42"/>
      <c r="D120" s="45"/>
      <c r="E120" s="45"/>
      <c r="F120" s="45"/>
      <c r="G120" s="45"/>
      <c r="H120" s="45"/>
      <c r="I120" s="42"/>
      <c r="J120" s="42"/>
      <c r="K120" s="42"/>
      <c r="L120" s="177"/>
      <c r="N120" s="29"/>
      <c r="P120" s="88"/>
      <c r="R120" s="10"/>
      <c r="T120" s="45"/>
    </row>
    <row r="121" spans="1:27">
      <c r="A121" s="29"/>
      <c r="B121" s="167" t="s">
        <v>425</v>
      </c>
      <c r="C121" s="42"/>
      <c r="D121" s="45"/>
      <c r="E121" s="45"/>
      <c r="F121" s="45"/>
      <c r="G121" s="45"/>
      <c r="H121" s="45"/>
      <c r="I121" s="42"/>
      <c r="J121" s="42"/>
      <c r="K121" s="42"/>
      <c r="L121" s="177"/>
      <c r="N121" s="29"/>
      <c r="P121" s="88">
        <f>P119/2</f>
        <v>1.6908473298410684</v>
      </c>
      <c r="R121" s="10"/>
      <c r="T121" s="45">
        <f>P119+(T119/2)</f>
        <v>5.0725419895232058</v>
      </c>
    </row>
    <row r="122" spans="1:27">
      <c r="A122" s="29"/>
      <c r="B122" s="167" t="s">
        <v>422</v>
      </c>
      <c r="C122" s="42"/>
      <c r="D122" s="45"/>
      <c r="E122" s="45"/>
      <c r="F122" s="45"/>
      <c r="G122" s="45"/>
      <c r="H122" s="259"/>
      <c r="I122" s="42"/>
      <c r="J122" s="42"/>
      <c r="K122" s="42"/>
      <c r="L122" s="177"/>
      <c r="N122" s="29"/>
      <c r="P122" s="295">
        <f>'Exh. LK-28'!J19</f>
        <v>9.8804316192411479E-2</v>
      </c>
      <c r="R122" s="10"/>
      <c r="T122" s="260">
        <f>'Exh. LK-29'!J19</f>
        <v>9.9784915778226832E-2</v>
      </c>
    </row>
    <row r="123" spans="1:27" ht="13.5" thickBot="1">
      <c r="A123" s="29"/>
      <c r="B123" s="167" t="s">
        <v>423</v>
      </c>
      <c r="C123" s="42"/>
      <c r="D123" s="45"/>
      <c r="E123" s="45"/>
      <c r="F123" s="45"/>
      <c r="G123" s="45"/>
      <c r="H123" s="45"/>
      <c r="I123" s="42"/>
      <c r="J123" s="42"/>
      <c r="K123" s="42"/>
      <c r="L123" s="177"/>
      <c r="N123" s="29"/>
      <c r="P123" s="296">
        <f>P121*P122</f>
        <v>0.1670630142107116</v>
      </c>
      <c r="R123" s="10"/>
      <c r="T123" s="261">
        <f>T121*T122</f>
        <v>0.50616317520609222</v>
      </c>
    </row>
    <row r="124" spans="1:27" ht="13.5" thickTop="1">
      <c r="A124" s="29"/>
      <c r="B124" s="42"/>
      <c r="C124" s="42"/>
      <c r="D124" s="45"/>
      <c r="E124" s="45"/>
      <c r="F124" s="45"/>
      <c r="G124" s="45"/>
      <c r="H124" s="45"/>
      <c r="I124" s="42"/>
      <c r="J124" s="42"/>
      <c r="K124" s="42"/>
      <c r="L124" s="177"/>
      <c r="N124" s="29"/>
      <c r="P124" s="88"/>
      <c r="R124" s="10"/>
    </row>
    <row r="125" spans="1:27" ht="13.5" thickBot="1">
      <c r="A125" s="29"/>
      <c r="B125" s="170" t="s">
        <v>427</v>
      </c>
      <c r="C125" s="42"/>
      <c r="D125" s="45"/>
      <c r="E125" s="45"/>
      <c r="F125" s="45"/>
      <c r="G125" s="45"/>
      <c r="H125" s="45"/>
      <c r="I125" s="42"/>
      <c r="J125" s="42"/>
      <c r="K125" s="42"/>
      <c r="L125" s="177"/>
      <c r="N125" s="29"/>
      <c r="P125" s="197">
        <f>X113+P123</f>
        <v>-5.3383413971562188</v>
      </c>
      <c r="R125" s="10"/>
      <c r="T125" s="209">
        <f>X113+T123</f>
        <v>-4.999241236160838</v>
      </c>
    </row>
    <row r="126" spans="1:27" ht="13.5" thickTop="1">
      <c r="A126" s="29"/>
      <c r="B126" s="42"/>
      <c r="C126" s="42"/>
      <c r="D126" s="45"/>
      <c r="E126" s="45"/>
      <c r="F126" s="45"/>
      <c r="G126" s="45"/>
      <c r="H126" s="45"/>
      <c r="I126" s="42"/>
      <c r="J126" s="42"/>
      <c r="K126" s="42"/>
      <c r="L126" s="42"/>
      <c r="N126" s="29"/>
      <c r="P126" s="88"/>
    </row>
    <row r="127" spans="1:27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P127" s="88"/>
    </row>
    <row r="128" spans="1:27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</sheetData>
  <mergeCells count="5">
    <mergeCell ref="A1:X1"/>
    <mergeCell ref="A2:X2"/>
    <mergeCell ref="A3:X3"/>
    <mergeCell ref="A4:X4"/>
    <mergeCell ref="A5:X5"/>
  </mergeCells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  <rowBreaks count="2" manualBreakCount="2">
    <brk id="54" max="23" man="1"/>
    <brk id="98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view="pageLayout" zoomScaleNormal="100" workbookViewId="0">
      <selection activeCell="G9" sqref="G9"/>
    </sheetView>
  </sheetViews>
  <sheetFormatPr defaultRowHeight="15"/>
  <cols>
    <col min="1" max="1" width="19.140625" style="238" customWidth="1"/>
    <col min="2" max="2" width="7" style="238" customWidth="1"/>
    <col min="3" max="3" width="9.140625" style="238"/>
    <col min="4" max="4" width="11.7109375" style="238" customWidth="1"/>
    <col min="5" max="5" width="13.140625" style="238" customWidth="1"/>
    <col min="6" max="6" width="12.42578125" style="238" customWidth="1"/>
    <col min="7" max="7" width="9.140625" style="238"/>
    <col min="8" max="8" width="11.28515625" style="238" bestFit="1" customWidth="1"/>
    <col min="9" max="9" width="3.28515625" style="238" customWidth="1"/>
    <col min="10" max="10" width="10.140625" style="238" customWidth="1"/>
    <col min="11" max="11" width="3.28515625" style="238" customWidth="1"/>
    <col min="12" max="13" width="11.28515625" style="238" bestFit="1" customWidth="1"/>
    <col min="14" max="16384" width="9.140625" style="238"/>
  </cols>
  <sheetData>
    <row r="1" spans="1:16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6">
      <c r="A2" s="375" t="s">
        <v>404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6">
      <c r="A3" s="376" t="s">
        <v>65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</row>
    <row r="4" spans="1:16">
      <c r="A4" s="375" t="s">
        <v>373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</row>
    <row r="5" spans="1:16">
      <c r="A5" s="375" t="s">
        <v>407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</row>
    <row r="8" spans="1:16">
      <c r="A8" s="239"/>
      <c r="B8" s="239"/>
      <c r="C8" s="244">
        <v>2017</v>
      </c>
      <c r="D8" s="244">
        <v>2018</v>
      </c>
      <c r="E8" s="239"/>
      <c r="F8" s="244">
        <v>2020</v>
      </c>
      <c r="G8" s="239"/>
      <c r="H8" s="239"/>
      <c r="I8" s="239"/>
      <c r="J8" s="239"/>
      <c r="K8" s="239"/>
      <c r="L8" s="239"/>
      <c r="M8" s="239"/>
      <c r="N8" s="239"/>
      <c r="O8" s="239"/>
      <c r="P8" s="239"/>
    </row>
    <row r="9" spans="1:16">
      <c r="A9" s="239" t="s">
        <v>388</v>
      </c>
      <c r="B9" s="239"/>
      <c r="C9" s="239">
        <v>27597</v>
      </c>
      <c r="D9" s="239">
        <v>27597</v>
      </c>
      <c r="E9" s="239"/>
      <c r="F9" s="239">
        <v>27597</v>
      </c>
      <c r="G9" s="239"/>
      <c r="H9" s="239"/>
      <c r="I9" s="239"/>
      <c r="J9" s="239"/>
      <c r="K9" s="239"/>
      <c r="L9" s="239"/>
      <c r="M9" s="239"/>
      <c r="N9" s="239"/>
      <c r="O9" s="239"/>
      <c r="P9" s="239"/>
    </row>
    <row r="10" spans="1:16">
      <c r="A10" s="239" t="s">
        <v>389</v>
      </c>
      <c r="B10" s="239"/>
      <c r="C10" s="240">
        <v>6.6100000000000006E-2</v>
      </c>
      <c r="D10" s="240">
        <v>6.7100000000000007E-2</v>
      </c>
      <c r="E10" s="240"/>
      <c r="F10" s="240">
        <v>6.7100000000000007E-2</v>
      </c>
      <c r="G10" s="239"/>
      <c r="H10" s="239"/>
      <c r="I10" s="239"/>
      <c r="J10" s="239"/>
      <c r="K10" s="239"/>
      <c r="L10" s="239"/>
      <c r="M10" s="239"/>
      <c r="N10" s="239"/>
      <c r="O10" s="239"/>
      <c r="P10" s="239"/>
    </row>
    <row r="11" spans="1:16">
      <c r="A11" s="239" t="s">
        <v>390</v>
      </c>
      <c r="B11" s="239"/>
      <c r="C11" s="240">
        <v>9.8799999999999999E-2</v>
      </c>
      <c r="D11" s="240">
        <v>9.98E-2</v>
      </c>
      <c r="E11" s="240"/>
      <c r="F11" s="240">
        <v>9.98E-2</v>
      </c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>
      <c r="A12" s="239"/>
      <c r="B12" s="239"/>
      <c r="C12" s="239"/>
      <c r="D12" s="239"/>
      <c r="E12" s="239"/>
      <c r="F12" s="239"/>
      <c r="G12" s="239"/>
      <c r="H12" s="239"/>
      <c r="I12" s="239"/>
      <c r="J12" s="239" t="s">
        <v>594</v>
      </c>
      <c r="K12" s="239"/>
      <c r="M12" s="239"/>
      <c r="N12" s="239"/>
      <c r="O12" s="239"/>
      <c r="P12" s="239"/>
    </row>
    <row r="13" spans="1:16">
      <c r="A13" s="239"/>
      <c r="B13" s="239"/>
      <c r="C13" s="241"/>
      <c r="D13" s="241"/>
      <c r="E13" s="241" t="s">
        <v>391</v>
      </c>
      <c r="F13" s="241" t="s">
        <v>392</v>
      </c>
      <c r="G13" s="241"/>
      <c r="H13" s="241"/>
      <c r="I13" s="241"/>
      <c r="J13" s="241" t="s">
        <v>595</v>
      </c>
      <c r="K13" s="241"/>
      <c r="L13" s="241" t="s">
        <v>391</v>
      </c>
      <c r="M13" s="239"/>
      <c r="N13" s="239"/>
      <c r="O13" s="239"/>
      <c r="P13" s="239"/>
    </row>
    <row r="14" spans="1:16">
      <c r="A14" s="239"/>
      <c r="B14" s="239"/>
      <c r="C14" s="241" t="s">
        <v>394</v>
      </c>
      <c r="D14" s="241" t="s">
        <v>395</v>
      </c>
      <c r="E14" s="241" t="s">
        <v>393</v>
      </c>
      <c r="F14" s="241" t="s">
        <v>396</v>
      </c>
      <c r="G14" s="241" t="s">
        <v>593</v>
      </c>
      <c r="H14" s="241" t="s">
        <v>405</v>
      </c>
      <c r="I14" s="241"/>
      <c r="J14" s="241" t="s">
        <v>596</v>
      </c>
      <c r="K14" s="241"/>
      <c r="L14" s="241" t="s">
        <v>393</v>
      </c>
      <c r="M14" s="241" t="s">
        <v>398</v>
      </c>
      <c r="N14" s="239"/>
      <c r="O14" s="241"/>
      <c r="P14" s="241" t="s">
        <v>405</v>
      </c>
    </row>
    <row r="15" spans="1:16">
      <c r="A15" s="246" t="s">
        <v>406</v>
      </c>
      <c r="B15" s="244" t="s">
        <v>58</v>
      </c>
      <c r="C15" s="246" t="s">
        <v>399</v>
      </c>
      <c r="D15" s="246" t="s">
        <v>400</v>
      </c>
      <c r="E15" s="246" t="s">
        <v>397</v>
      </c>
      <c r="F15" s="246" t="s">
        <v>401</v>
      </c>
      <c r="G15" s="246" t="s">
        <v>398</v>
      </c>
      <c r="H15" s="246" t="s">
        <v>398</v>
      </c>
      <c r="I15" s="246"/>
      <c r="J15" s="246" t="s">
        <v>597</v>
      </c>
      <c r="K15" s="246"/>
      <c r="L15" s="246" t="s">
        <v>402</v>
      </c>
      <c r="M15" s="246" t="s">
        <v>403</v>
      </c>
      <c r="N15" s="369"/>
      <c r="O15" s="246" t="s">
        <v>398</v>
      </c>
      <c r="P15" s="246" t="s">
        <v>398</v>
      </c>
    </row>
    <row r="16" spans="1:16">
      <c r="A16" s="241"/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</row>
    <row r="17" spans="1:16">
      <c r="A17" s="241">
        <v>2017</v>
      </c>
      <c r="B17" s="239">
        <v>1</v>
      </c>
      <c r="C17" s="242">
        <f>+$C$9/12</f>
        <v>2299.75</v>
      </c>
      <c r="D17" s="242">
        <f>+SUM($C$17:C17)</f>
        <v>2299.75</v>
      </c>
      <c r="E17" s="242">
        <f>+D17-(D17*0.3858)</f>
        <v>1412.5064500000001</v>
      </c>
      <c r="F17" s="242">
        <f>+E17+SUM($G$16:G16)</f>
        <v>1412.5064500000001</v>
      </c>
      <c r="G17" s="242">
        <f t="shared" ref="G17:G28" si="0">+D17*$C$11/12</f>
        <v>18.934608333333333</v>
      </c>
      <c r="H17" s="245">
        <f>((1/((1+C$10)^(1/12))*+G17))</f>
        <v>18.833881379231403</v>
      </c>
      <c r="I17" s="239"/>
      <c r="J17" s="373">
        <f>-B17*$H$67-SUM($G$17:G17)</f>
        <v>430.35233685256594</v>
      </c>
      <c r="K17" s="239"/>
      <c r="L17" s="248"/>
      <c r="M17" s="248"/>
      <c r="N17" s="248"/>
      <c r="O17" s="242">
        <f>-$H$67</f>
        <v>449.2869451858993</v>
      </c>
      <c r="P17" s="245">
        <f>((1/((1+$C$10)^(1/12))*+O17))</f>
        <v>446.89686112872522</v>
      </c>
    </row>
    <row r="18" spans="1:16">
      <c r="A18" s="241"/>
      <c r="B18" s="239">
        <f>+B17+1</f>
        <v>2</v>
      </c>
      <c r="C18" s="242">
        <f t="shared" ref="C18:C64" si="1">+$C$9/12</f>
        <v>2299.75</v>
      </c>
      <c r="D18" s="242">
        <f>+SUM($C$17:C18)</f>
        <v>4599.5</v>
      </c>
      <c r="E18" s="242">
        <f t="shared" ref="E18:E64" si="2">+D18-(D18*0.3858)</f>
        <v>2825.0129000000002</v>
      </c>
      <c r="F18" s="242">
        <f>+E18+SUM($G$16:G17)</f>
        <v>2843.9475083333336</v>
      </c>
      <c r="G18" s="242">
        <f t="shared" si="0"/>
        <v>37.869216666666667</v>
      </c>
      <c r="H18" s="245">
        <f>((1/((1+C$10)^(B18/12))*+G18))</f>
        <v>37.467380530127279</v>
      </c>
      <c r="I18" s="239"/>
      <c r="J18" s="373">
        <f>-B18*$H$67-SUM($G$17:G18)</f>
        <v>841.77006537179864</v>
      </c>
      <c r="K18" s="239"/>
      <c r="L18" s="248"/>
      <c r="M18" s="248"/>
      <c r="N18" s="248"/>
      <c r="O18" s="242">
        <f t="shared" ref="O18:O64" si="3">-$H$67</f>
        <v>449.2869451858993</v>
      </c>
      <c r="P18" s="245">
        <f>((1/((1+$C$10)^(B18/12))*+O18))</f>
        <v>444.51949166711552</v>
      </c>
    </row>
    <row r="19" spans="1:16">
      <c r="A19" s="241"/>
      <c r="B19" s="239">
        <f t="shared" ref="B19:B64" si="4">+B18+1</f>
        <v>3</v>
      </c>
      <c r="C19" s="242">
        <f t="shared" si="1"/>
        <v>2299.75</v>
      </c>
      <c r="D19" s="242">
        <f>+SUM($C$17:C19)</f>
        <v>6899.25</v>
      </c>
      <c r="E19" s="242">
        <f t="shared" si="2"/>
        <v>4237.5193500000005</v>
      </c>
      <c r="F19" s="242">
        <f>+E19+SUM($G$16:G18)</f>
        <v>4294.3231750000004</v>
      </c>
      <c r="G19" s="242">
        <f t="shared" si="0"/>
        <v>56.803824999999996</v>
      </c>
      <c r="H19" s="245">
        <f t="shared" ref="H19:H28" si="5">((1/((1+C$10)^(B19/12))*+G19))</f>
        <v>55.902096420923002</v>
      </c>
      <c r="I19" s="239"/>
      <c r="J19" s="373">
        <f>-B19*$H$67-SUM($G$17:G19)</f>
        <v>1234.2531855576981</v>
      </c>
      <c r="K19" s="239"/>
      <c r="L19" s="248"/>
      <c r="M19" s="248"/>
      <c r="N19" s="248"/>
      <c r="O19" s="242">
        <f t="shared" si="3"/>
        <v>449.2869451858993</v>
      </c>
      <c r="P19" s="245">
        <f t="shared" ref="P19:P64" si="6">((1/((1+$C$10)^(B19/12))*+O19))</f>
        <v>442.1547691628881</v>
      </c>
    </row>
    <row r="20" spans="1:16">
      <c r="A20" s="241"/>
      <c r="B20" s="239">
        <f t="shared" si="4"/>
        <v>4</v>
      </c>
      <c r="C20" s="242">
        <f t="shared" si="1"/>
        <v>2299.75</v>
      </c>
      <c r="D20" s="242">
        <f>+SUM($C$17:C20)</f>
        <v>9199</v>
      </c>
      <c r="E20" s="242">
        <f t="shared" si="2"/>
        <v>5650.0258000000003</v>
      </c>
      <c r="F20" s="242">
        <f>+E20+SUM($G$16:G19)</f>
        <v>5763.6334500000003</v>
      </c>
      <c r="G20" s="242">
        <f t="shared" si="0"/>
        <v>75.738433333333333</v>
      </c>
      <c r="H20" s="245">
        <f t="shared" si="5"/>
        <v>74.139616678420523</v>
      </c>
      <c r="I20" s="239"/>
      <c r="J20" s="373">
        <f>-B20*$H$67-SUM($G$17:G20)</f>
        <v>1607.8016974102638</v>
      </c>
      <c r="K20" s="239"/>
      <c r="L20" s="248"/>
      <c r="M20" s="248"/>
      <c r="N20" s="248"/>
      <c r="O20" s="242">
        <f t="shared" si="3"/>
        <v>449.2869451858993</v>
      </c>
      <c r="P20" s="245">
        <f t="shared" si="6"/>
        <v>439.80262633767768</v>
      </c>
    </row>
    <row r="21" spans="1:16">
      <c r="A21" s="241"/>
      <c r="B21" s="239">
        <f t="shared" si="4"/>
        <v>5</v>
      </c>
      <c r="C21" s="242">
        <f t="shared" si="1"/>
        <v>2299.75</v>
      </c>
      <c r="D21" s="242">
        <f>+SUM($C$17:C21)</f>
        <v>11498.75</v>
      </c>
      <c r="E21" s="242">
        <f t="shared" si="2"/>
        <v>7062.5322500000002</v>
      </c>
      <c r="F21" s="242">
        <f>+E21+SUM($G$16:G20)</f>
        <v>7251.878333333334</v>
      </c>
      <c r="G21" s="242">
        <f t="shared" si="0"/>
        <v>94.673041666666663</v>
      </c>
      <c r="H21" s="245">
        <f t="shared" si="5"/>
        <v>92.181517663405089</v>
      </c>
      <c r="I21" s="239"/>
      <c r="J21" s="373">
        <f>-B21*$H$67-SUM($G$17:G21)</f>
        <v>1962.4156009294963</v>
      </c>
      <c r="K21" s="239"/>
      <c r="L21" s="248"/>
      <c r="M21" s="248"/>
      <c r="N21" s="248"/>
      <c r="O21" s="242">
        <f t="shared" si="3"/>
        <v>449.2869451858993</v>
      </c>
      <c r="P21" s="245">
        <f t="shared" si="6"/>
        <v>437.46299627102178</v>
      </c>
    </row>
    <row r="22" spans="1:16">
      <c r="A22" s="241"/>
      <c r="B22" s="239">
        <f t="shared" si="4"/>
        <v>6</v>
      </c>
      <c r="C22" s="242">
        <f t="shared" si="1"/>
        <v>2299.75</v>
      </c>
      <c r="D22" s="242">
        <f>+SUM($C$17:C22)</f>
        <v>13798.5</v>
      </c>
      <c r="E22" s="242">
        <f t="shared" si="2"/>
        <v>8475.038700000001</v>
      </c>
      <c r="F22" s="242">
        <f>+E22+SUM($G$16:G21)</f>
        <v>8759.0578250000017</v>
      </c>
      <c r="G22" s="242">
        <f t="shared" si="0"/>
        <v>113.60764999999999</v>
      </c>
      <c r="H22" s="245">
        <f t="shared" si="5"/>
        <v>110.02936454558024</v>
      </c>
      <c r="I22" s="239"/>
      <c r="J22" s="373">
        <f>-B22*$H$67-SUM($G$17:G22)</f>
        <v>2298.0948961153958</v>
      </c>
      <c r="K22" s="239"/>
      <c r="L22" s="248"/>
      <c r="M22" s="248"/>
      <c r="N22" s="248"/>
      <c r="O22" s="242">
        <f t="shared" si="3"/>
        <v>449.2869451858993</v>
      </c>
      <c r="P22" s="245">
        <f t="shared" si="6"/>
        <v>435.13581239845593</v>
      </c>
    </row>
    <row r="23" spans="1:16">
      <c r="A23" s="241"/>
      <c r="B23" s="239">
        <f t="shared" si="4"/>
        <v>7</v>
      </c>
      <c r="C23" s="242">
        <f t="shared" si="1"/>
        <v>2299.75</v>
      </c>
      <c r="D23" s="242">
        <f>+SUM($C$17:C23)</f>
        <v>16098.25</v>
      </c>
      <c r="E23" s="242">
        <f t="shared" si="2"/>
        <v>9887.5451500000017</v>
      </c>
      <c r="F23" s="242">
        <f>+E23+SUM($G$16:G22)</f>
        <v>10285.171925000002</v>
      </c>
      <c r="G23" s="242">
        <f t="shared" si="0"/>
        <v>132.54225833333334</v>
      </c>
      <c r="H23" s="245">
        <f t="shared" si="5"/>
        <v>127.68471137802499</v>
      </c>
      <c r="I23" s="239"/>
      <c r="J23" s="373">
        <f>-B23*$H$67-SUM($G$17:G23)</f>
        <v>2614.8395829679621</v>
      </c>
      <c r="K23" s="239"/>
      <c r="L23" s="248"/>
      <c r="M23" s="248"/>
      <c r="N23" s="248"/>
      <c r="O23" s="242">
        <f t="shared" si="3"/>
        <v>449.2869451858993</v>
      </c>
      <c r="P23" s="245">
        <f t="shared" si="6"/>
        <v>432.82100850962121</v>
      </c>
    </row>
    <row r="24" spans="1:16">
      <c r="A24" s="241"/>
      <c r="B24" s="239">
        <f t="shared" si="4"/>
        <v>8</v>
      </c>
      <c r="C24" s="242">
        <f t="shared" si="1"/>
        <v>2299.75</v>
      </c>
      <c r="D24" s="242">
        <f>+SUM($C$17:C24)</f>
        <v>18398</v>
      </c>
      <c r="E24" s="242">
        <f t="shared" si="2"/>
        <v>11300.051600000001</v>
      </c>
      <c r="F24" s="242">
        <f>+E24+SUM($G$16:G23)</f>
        <v>11830.220633333334</v>
      </c>
      <c r="G24" s="242">
        <f t="shared" si="0"/>
        <v>151.47686666666667</v>
      </c>
      <c r="H24" s="245">
        <f t="shared" si="5"/>
        <v>145.14910117117466</v>
      </c>
      <c r="I24" s="239"/>
      <c r="J24" s="373">
        <f>-B24*$H$67-SUM($G$17:G24)</f>
        <v>2912.6496614871944</v>
      </c>
      <c r="K24" s="239"/>
      <c r="L24" s="248"/>
      <c r="M24" s="248"/>
      <c r="N24" s="248"/>
      <c r="O24" s="242">
        <f t="shared" si="3"/>
        <v>449.2869451858993</v>
      </c>
      <c r="P24" s="245">
        <f t="shared" si="6"/>
        <v>430.51851874637913</v>
      </c>
    </row>
    <row r="25" spans="1:16">
      <c r="A25" s="241"/>
      <c r="B25" s="239">
        <f t="shared" si="4"/>
        <v>9</v>
      </c>
      <c r="C25" s="242">
        <f t="shared" si="1"/>
        <v>2299.75</v>
      </c>
      <c r="D25" s="242">
        <f>+SUM($C$17:C25)</f>
        <v>20697.75</v>
      </c>
      <c r="E25" s="242">
        <f t="shared" si="2"/>
        <v>12712.55805</v>
      </c>
      <c r="F25" s="242">
        <f>+E25+SUM($G$16:G24)</f>
        <v>13394.203949999999</v>
      </c>
      <c r="G25" s="242">
        <f t="shared" si="0"/>
        <v>170.411475</v>
      </c>
      <c r="H25" s="245">
        <f t="shared" si="5"/>
        <v>162.42406596633009</v>
      </c>
      <c r="I25" s="239"/>
      <c r="J25" s="373">
        <f>-B25*$H$67-SUM($G$17:G25)</f>
        <v>3191.5251316730937</v>
      </c>
      <c r="K25" s="239"/>
      <c r="L25" s="248"/>
      <c r="M25" s="248"/>
      <c r="N25" s="248"/>
      <c r="O25" s="242">
        <f t="shared" si="3"/>
        <v>449.2869451858993</v>
      </c>
      <c r="P25" s="245">
        <f t="shared" si="6"/>
        <v>428.22827760093884</v>
      </c>
    </row>
    <row r="26" spans="1:16">
      <c r="A26" s="241"/>
      <c r="B26" s="239">
        <f t="shared" si="4"/>
        <v>10</v>
      </c>
      <c r="C26" s="242">
        <f t="shared" si="1"/>
        <v>2299.75</v>
      </c>
      <c r="D26" s="242">
        <f>+SUM($C$17:C26)</f>
        <v>22997.5</v>
      </c>
      <c r="E26" s="242">
        <f t="shared" si="2"/>
        <v>14125.0645</v>
      </c>
      <c r="F26" s="242">
        <f>+E26+SUM($G$16:G25)</f>
        <v>14977.121875000001</v>
      </c>
      <c r="G26" s="242">
        <f t="shared" si="0"/>
        <v>189.34608333333333</v>
      </c>
      <c r="H26" s="245">
        <f t="shared" si="5"/>
        <v>179.51112690869664</v>
      </c>
      <c r="I26" s="239"/>
      <c r="J26" s="373">
        <f>-B26*$H$67-SUM($G$17:G26)</f>
        <v>3451.4659935256595</v>
      </c>
      <c r="K26" s="239"/>
      <c r="L26" s="248"/>
      <c r="M26" s="248"/>
      <c r="N26" s="248"/>
      <c r="O26" s="242">
        <f t="shared" si="3"/>
        <v>449.2869451858993</v>
      </c>
      <c r="P26" s="245">
        <f t="shared" si="6"/>
        <v>425.95021991399312</v>
      </c>
    </row>
    <row r="27" spans="1:16">
      <c r="A27" s="241"/>
      <c r="B27" s="239">
        <f t="shared" si="4"/>
        <v>11</v>
      </c>
      <c r="C27" s="242">
        <f t="shared" si="1"/>
        <v>2299.75</v>
      </c>
      <c r="D27" s="242">
        <f>+SUM($C$17:C27)</f>
        <v>25297.25</v>
      </c>
      <c r="E27" s="242">
        <f t="shared" si="2"/>
        <v>15537.570950000001</v>
      </c>
      <c r="F27" s="242">
        <f>+E27+SUM($G$16:G26)</f>
        <v>16578.974408333335</v>
      </c>
      <c r="G27" s="242">
        <f t="shared" si="0"/>
        <v>208.28069166666668</v>
      </c>
      <c r="H27" s="245">
        <f t="shared" si="5"/>
        <v>196.41179431995656</v>
      </c>
      <c r="I27" s="239"/>
      <c r="J27" s="373">
        <f>-B27*$H$67-SUM($G$17:G27)</f>
        <v>3692.4722470448924</v>
      </c>
      <c r="K27" s="239"/>
      <c r="L27" s="248"/>
      <c r="M27" s="248"/>
      <c r="N27" s="248"/>
      <c r="O27" s="242">
        <f t="shared" si="3"/>
        <v>449.2869451858993</v>
      </c>
      <c r="P27" s="245">
        <f t="shared" si="6"/>
        <v>423.68428087286429</v>
      </c>
    </row>
    <row r="28" spans="1:16">
      <c r="A28" s="241"/>
      <c r="B28" s="239">
        <f t="shared" si="4"/>
        <v>12</v>
      </c>
      <c r="C28" s="242">
        <f t="shared" si="1"/>
        <v>2299.75</v>
      </c>
      <c r="D28" s="242">
        <f>+SUM($C$17:C28)</f>
        <v>27597</v>
      </c>
      <c r="E28" s="242">
        <f t="shared" si="2"/>
        <v>16950.077400000002</v>
      </c>
      <c r="F28" s="242">
        <f>+E28+SUM($G$16:G27)</f>
        <v>18199.761550000003</v>
      </c>
      <c r="G28" s="242">
        <f t="shared" si="0"/>
        <v>227.21529999999998</v>
      </c>
      <c r="H28" s="245">
        <f t="shared" si="5"/>
        <v>213.12756777037799</v>
      </c>
      <c r="I28" s="239"/>
      <c r="J28" s="373">
        <f>-B28*$H$67-SUM($G$17:G28)</f>
        <v>3914.5438922307922</v>
      </c>
      <c r="K28" s="239"/>
      <c r="L28" s="248">
        <f>+SUM(J16:J28)/13</f>
        <v>2165.5526377820624</v>
      </c>
      <c r="M28" s="248">
        <f>+L28*C11</f>
        <v>213.95660061286776</v>
      </c>
      <c r="N28" s="248"/>
      <c r="O28" s="242">
        <f t="shared" si="3"/>
        <v>449.2869451858993</v>
      </c>
      <c r="P28" s="245">
        <f t="shared" si="6"/>
        <v>421.43039600966068</v>
      </c>
    </row>
    <row r="29" spans="1:16">
      <c r="A29" s="241">
        <v>2018</v>
      </c>
      <c r="B29" s="239">
        <f t="shared" si="4"/>
        <v>13</v>
      </c>
      <c r="C29" s="242">
        <f t="shared" si="1"/>
        <v>2299.75</v>
      </c>
      <c r="D29" s="242">
        <f>+SUM($C$17:C29)</f>
        <v>29896.75</v>
      </c>
      <c r="E29" s="242">
        <f t="shared" si="2"/>
        <v>18362.583850000003</v>
      </c>
      <c r="F29" s="242">
        <f>+E29+SUM($G$16:G28)</f>
        <v>19839.483300000004</v>
      </c>
      <c r="G29" s="242">
        <f>+D29*$D$11/12</f>
        <v>248.64130416666669</v>
      </c>
      <c r="H29" s="245">
        <f>((1/((1+D$10)^(B29/12))*+G29))</f>
        <v>231.74892512120456</v>
      </c>
      <c r="I29" s="239"/>
      <c r="J29" s="373">
        <f>-B29*$H$67-SUM($G$17:G29)</f>
        <v>4115.1895332500244</v>
      </c>
      <c r="K29" s="239"/>
      <c r="L29" s="248"/>
      <c r="M29" s="248"/>
      <c r="N29" s="248"/>
      <c r="O29" s="242">
        <f t="shared" si="3"/>
        <v>449.2869451858993</v>
      </c>
      <c r="P29" s="245">
        <f t="shared" si="6"/>
        <v>419.1885011994421</v>
      </c>
    </row>
    <row r="30" spans="1:16">
      <c r="A30" s="241"/>
      <c r="B30" s="239">
        <f t="shared" si="4"/>
        <v>14</v>
      </c>
      <c r="C30" s="242">
        <f t="shared" si="1"/>
        <v>2299.75</v>
      </c>
      <c r="D30" s="242">
        <f>+SUM($C$17:C30)</f>
        <v>32196.5</v>
      </c>
      <c r="E30" s="242">
        <f t="shared" si="2"/>
        <v>19775.090300000003</v>
      </c>
      <c r="F30" s="242">
        <f>+E30+SUM($G$16:G29)</f>
        <v>21500.631054166672</v>
      </c>
      <c r="G30" s="242">
        <f t="shared" ref="G30:G64" si="7">+D30*$D$11/12</f>
        <v>267.76755833333334</v>
      </c>
      <c r="H30" s="245">
        <f t="shared" ref="H30:H64" si="8">((1/((1+D$10)^(B30/12))*+G30))</f>
        <v>248.22869564757218</v>
      </c>
      <c r="I30" s="239"/>
      <c r="J30" s="373">
        <f>-B30*$H$67-SUM($G$17:G30)</f>
        <v>4296.7089201025901</v>
      </c>
      <c r="K30" s="239"/>
      <c r="L30" s="248"/>
      <c r="M30" s="248"/>
      <c r="N30" s="248"/>
      <c r="O30" s="242">
        <f t="shared" si="3"/>
        <v>449.2869451858993</v>
      </c>
      <c r="P30" s="245">
        <f t="shared" si="6"/>
        <v>416.95853265839554</v>
      </c>
    </row>
    <row r="31" spans="1:16">
      <c r="A31" s="241"/>
      <c r="B31" s="239">
        <f t="shared" si="4"/>
        <v>15</v>
      </c>
      <c r="C31" s="242">
        <f t="shared" si="1"/>
        <v>2299.75</v>
      </c>
      <c r="D31" s="242">
        <f>+SUM($C$17:C31)</f>
        <v>34496.25</v>
      </c>
      <c r="E31" s="242">
        <f t="shared" si="2"/>
        <v>21187.596750000001</v>
      </c>
      <c r="F31" s="242">
        <f>+E31+SUM($G$16:G30)</f>
        <v>23180.905062500002</v>
      </c>
      <c r="G31" s="242">
        <f t="shared" si="7"/>
        <v>286.89381250000002</v>
      </c>
      <c r="H31" s="245">
        <f t="shared" si="8"/>
        <v>264.5238176859491</v>
      </c>
      <c r="I31" s="239"/>
      <c r="J31" s="373">
        <f>-B31*$H$67-SUM($G$17:G31)</f>
        <v>4459.1020527884893</v>
      </c>
      <c r="K31" s="239"/>
      <c r="L31" s="248"/>
      <c r="M31" s="248"/>
      <c r="N31" s="248"/>
      <c r="O31" s="242">
        <f t="shared" si="3"/>
        <v>449.2869451858993</v>
      </c>
      <c r="P31" s="245">
        <f t="shared" si="6"/>
        <v>414.74042694202058</v>
      </c>
    </row>
    <row r="32" spans="1:16">
      <c r="A32" s="241"/>
      <c r="B32" s="239">
        <f t="shared" si="4"/>
        <v>16</v>
      </c>
      <c r="C32" s="242">
        <f t="shared" si="1"/>
        <v>2299.75</v>
      </c>
      <c r="D32" s="242">
        <f>+SUM($C$17:C32)</f>
        <v>36796</v>
      </c>
      <c r="E32" s="242">
        <f t="shared" si="2"/>
        <v>22600.103200000001</v>
      </c>
      <c r="F32" s="242">
        <f>+E32+SUM($G$16:G31)</f>
        <v>24880.305325000001</v>
      </c>
      <c r="G32" s="242">
        <f t="shared" si="7"/>
        <v>306.02006666666665</v>
      </c>
      <c r="H32" s="245">
        <f t="shared" si="8"/>
        <v>280.63580439975124</v>
      </c>
      <c r="I32" s="239"/>
      <c r="J32" s="373">
        <f>-B32*$H$67-SUM($G$17:G32)</f>
        <v>4602.368931307723</v>
      </c>
      <c r="K32" s="239"/>
      <c r="L32" s="248"/>
      <c r="M32" s="248"/>
      <c r="N32" s="248"/>
      <c r="O32" s="242">
        <f t="shared" si="3"/>
        <v>449.2869451858993</v>
      </c>
      <c r="P32" s="245">
        <f t="shared" si="6"/>
        <v>412.53412094332401</v>
      </c>
    </row>
    <row r="33" spans="1:16">
      <c r="A33" s="241"/>
      <c r="B33" s="239">
        <f t="shared" si="4"/>
        <v>17</v>
      </c>
      <c r="C33" s="242">
        <f t="shared" si="1"/>
        <v>2299.75</v>
      </c>
      <c r="D33" s="242">
        <f>+SUM($C$17:C33)</f>
        <v>39095.75</v>
      </c>
      <c r="E33" s="242">
        <f t="shared" si="2"/>
        <v>24012.609649999999</v>
      </c>
      <c r="F33" s="242">
        <f>+E33+SUM($G$16:G32)</f>
        <v>26598.831841666666</v>
      </c>
      <c r="G33" s="242">
        <f t="shared" si="7"/>
        <v>325.14632083333333</v>
      </c>
      <c r="H33" s="245">
        <f t="shared" si="8"/>
        <v>296.56615799722471</v>
      </c>
      <c r="I33" s="239"/>
      <c r="J33" s="373">
        <f>-B33*$H$67-SUM($G$17:G33)</f>
        <v>4726.5095556602882</v>
      </c>
      <c r="K33" s="239"/>
      <c r="L33" s="248"/>
      <c r="M33" s="248"/>
      <c r="N33" s="248"/>
      <c r="O33" s="242">
        <f t="shared" si="3"/>
        <v>449.2869451858993</v>
      </c>
      <c r="P33" s="245">
        <f t="shared" si="6"/>
        <v>410.33955189102494</v>
      </c>
    </row>
    <row r="34" spans="1:16">
      <c r="A34" s="241"/>
      <c r="B34" s="239">
        <f t="shared" si="4"/>
        <v>18</v>
      </c>
      <c r="C34" s="242">
        <f t="shared" si="1"/>
        <v>2299.75</v>
      </c>
      <c r="D34" s="242">
        <f>+SUM($C$17:C34)</f>
        <v>41395.5</v>
      </c>
      <c r="E34" s="242">
        <f t="shared" si="2"/>
        <v>25425.116099999999</v>
      </c>
      <c r="F34" s="242">
        <f>+E34+SUM($G$16:G33)</f>
        <v>28336.4846125</v>
      </c>
      <c r="G34" s="242">
        <f t="shared" si="7"/>
        <v>344.27257500000002</v>
      </c>
      <c r="H34" s="245">
        <f t="shared" si="8"/>
        <v>312.31636980562291</v>
      </c>
      <c r="I34" s="239"/>
      <c r="J34" s="373">
        <f>-B34*$H$67-SUM($G$17:G34)</f>
        <v>4831.5239258461879</v>
      </c>
      <c r="K34" s="239"/>
      <c r="L34" s="248"/>
      <c r="M34" s="248"/>
      <c r="N34" s="248"/>
      <c r="O34" s="242">
        <f t="shared" si="3"/>
        <v>449.2869451858993</v>
      </c>
      <c r="P34" s="245">
        <f t="shared" si="6"/>
        <v>408.15665734776843</v>
      </c>
    </row>
    <row r="35" spans="1:16">
      <c r="A35" s="241"/>
      <c r="B35" s="239">
        <f t="shared" si="4"/>
        <v>19</v>
      </c>
      <c r="C35" s="242">
        <f t="shared" si="1"/>
        <v>2299.75</v>
      </c>
      <c r="D35" s="242">
        <f>+SUM($C$17:C35)</f>
        <v>43695.25</v>
      </c>
      <c r="E35" s="242">
        <f t="shared" si="2"/>
        <v>26837.62255</v>
      </c>
      <c r="F35" s="242">
        <f>+E35+SUM($G$16:G34)</f>
        <v>30093.2636375</v>
      </c>
      <c r="G35" s="242">
        <f t="shared" si="7"/>
        <v>363.3988291666667</v>
      </c>
      <c r="H35" s="245">
        <f t="shared" si="8"/>
        <v>327.88792034490342</v>
      </c>
      <c r="I35" s="239"/>
      <c r="J35" s="373">
        <f>-B35*$H$67-SUM($G$17:G35)</f>
        <v>4917.4120418654202</v>
      </c>
      <c r="K35" s="239"/>
      <c r="L35" s="248"/>
      <c r="M35" s="248"/>
      <c r="N35" s="248"/>
      <c r="O35" s="242">
        <f t="shared" si="3"/>
        <v>449.2869451858993</v>
      </c>
      <c r="P35" s="245">
        <f t="shared" si="6"/>
        <v>405.9853752083493</v>
      </c>
    </row>
    <row r="36" spans="1:16">
      <c r="A36" s="241"/>
      <c r="B36" s="239">
        <f t="shared" si="4"/>
        <v>20</v>
      </c>
      <c r="C36" s="242">
        <f t="shared" si="1"/>
        <v>2299.75</v>
      </c>
      <c r="D36" s="242">
        <f>+SUM($C$17:C36)</f>
        <v>45995</v>
      </c>
      <c r="E36" s="242">
        <f t="shared" si="2"/>
        <v>28250.129000000001</v>
      </c>
      <c r="F36" s="242">
        <f>+E36+SUM($G$16:G35)</f>
        <v>31869.168916666669</v>
      </c>
      <c r="G36" s="242">
        <f t="shared" si="7"/>
        <v>382.52508333333338</v>
      </c>
      <c r="H36" s="245">
        <f t="shared" si="8"/>
        <v>343.28227940094484</v>
      </c>
      <c r="I36" s="239"/>
      <c r="J36" s="373">
        <f>-B36*$H$67-SUM($G$17:G36)</f>
        <v>4984.173903717985</v>
      </c>
      <c r="K36" s="239"/>
      <c r="L36" s="248"/>
      <c r="M36" s="248"/>
      <c r="N36" s="248"/>
      <c r="O36" s="242">
        <f t="shared" si="3"/>
        <v>449.2869451858993</v>
      </c>
      <c r="P36" s="245">
        <f t="shared" si="6"/>
        <v>403.82564369794494</v>
      </c>
    </row>
    <row r="37" spans="1:16">
      <c r="A37" s="241"/>
      <c r="B37" s="239">
        <f t="shared" si="4"/>
        <v>21</v>
      </c>
      <c r="C37" s="242">
        <f t="shared" si="1"/>
        <v>2299.75</v>
      </c>
      <c r="D37" s="242">
        <f>+SUM($C$17:C37)</f>
        <v>48294.75</v>
      </c>
      <c r="E37" s="242">
        <f t="shared" si="2"/>
        <v>29662.635450000002</v>
      </c>
      <c r="F37" s="242">
        <f>+E37+SUM($G$16:G36)</f>
        <v>33664.200450000004</v>
      </c>
      <c r="G37" s="242">
        <f t="shared" si="7"/>
        <v>401.65133750000001</v>
      </c>
      <c r="H37" s="245">
        <f t="shared" si="8"/>
        <v>358.50090609828931</v>
      </c>
      <c r="I37" s="239"/>
      <c r="J37" s="373">
        <f>-B37*$H$67-SUM($G$17:G37)</f>
        <v>5031.8095114038861</v>
      </c>
      <c r="K37" s="239"/>
      <c r="L37" s="248"/>
      <c r="M37" s="248"/>
      <c r="N37" s="248"/>
      <c r="O37" s="242">
        <f t="shared" si="3"/>
        <v>449.2869451858993</v>
      </c>
      <c r="P37" s="245">
        <f t="shared" si="6"/>
        <v>401.6774013703581</v>
      </c>
    </row>
    <row r="38" spans="1:16">
      <c r="A38" s="241"/>
      <c r="B38" s="239">
        <f t="shared" si="4"/>
        <v>22</v>
      </c>
      <c r="C38" s="242">
        <f t="shared" si="1"/>
        <v>2299.75</v>
      </c>
      <c r="D38" s="242">
        <f>+SUM($C$17:C38)</f>
        <v>50594.5</v>
      </c>
      <c r="E38" s="242">
        <f t="shared" si="2"/>
        <v>31075.141900000002</v>
      </c>
      <c r="F38" s="242">
        <f>+E38+SUM($G$16:G37)</f>
        <v>35478.358237500004</v>
      </c>
      <c r="G38" s="242">
        <f t="shared" si="7"/>
        <v>420.77759166666669</v>
      </c>
      <c r="H38" s="245">
        <f t="shared" si="8"/>
        <v>373.54524897241191</v>
      </c>
      <c r="I38" s="239"/>
      <c r="J38" s="373">
        <f>-B38*$H$67-SUM($G$17:G38)</f>
        <v>5060.3188649231179</v>
      </c>
      <c r="K38" s="239"/>
      <c r="L38" s="248"/>
      <c r="M38" s="248"/>
      <c r="N38" s="248"/>
      <c r="O38" s="242">
        <f t="shared" si="3"/>
        <v>449.2869451858993</v>
      </c>
      <c r="P38" s="245">
        <f t="shared" si="6"/>
        <v>399.54058710626873</v>
      </c>
    </row>
    <row r="39" spans="1:16">
      <c r="A39" s="241"/>
      <c r="B39" s="239">
        <f t="shared" si="4"/>
        <v>23</v>
      </c>
      <c r="C39" s="242">
        <f t="shared" si="1"/>
        <v>2299.75</v>
      </c>
      <c r="D39" s="242">
        <f>+SUM($C$17:C39)</f>
        <v>52894.25</v>
      </c>
      <c r="E39" s="242">
        <f t="shared" si="2"/>
        <v>32487.648349999999</v>
      </c>
      <c r="F39" s="242">
        <f>+E39+SUM($G$16:G38)</f>
        <v>37311.64227916667</v>
      </c>
      <c r="G39" s="242">
        <f t="shared" si="7"/>
        <v>439.90384583333338</v>
      </c>
      <c r="H39" s="245">
        <f t="shared" si="8"/>
        <v>388.41674604152035</v>
      </c>
      <c r="I39" s="239"/>
      <c r="J39" s="373">
        <f>-B39*$H$67-SUM($G$17:G39)</f>
        <v>5069.7019642756832</v>
      </c>
      <c r="K39" s="239"/>
      <c r="L39" s="248"/>
      <c r="M39" s="248"/>
      <c r="N39" s="248"/>
      <c r="O39" s="242">
        <f t="shared" si="3"/>
        <v>449.2869451858993</v>
      </c>
      <c r="P39" s="245">
        <f t="shared" si="6"/>
        <v>397.41514011149451</v>
      </c>
    </row>
    <row r="40" spans="1:16">
      <c r="A40" s="241"/>
      <c r="B40" s="239">
        <f t="shared" si="4"/>
        <v>24</v>
      </c>
      <c r="C40" s="242">
        <f t="shared" si="1"/>
        <v>2299.75</v>
      </c>
      <c r="D40" s="242">
        <f>+SUM($C$17:C40)</f>
        <v>55194</v>
      </c>
      <c r="E40" s="242">
        <f t="shared" si="2"/>
        <v>33900.154800000004</v>
      </c>
      <c r="F40" s="242">
        <f>+E40+SUM($G$16:G39)</f>
        <v>39164.052575000002</v>
      </c>
      <c r="G40" s="242">
        <f t="shared" si="7"/>
        <v>459.0301</v>
      </c>
      <c r="H40" s="245">
        <f t="shared" si="8"/>
        <v>403.11682487788892</v>
      </c>
      <c r="I40" s="239"/>
      <c r="J40" s="373">
        <f>-B40*$H$67-SUM($G$17:G40)</f>
        <v>5059.9588094615838</v>
      </c>
      <c r="K40" s="239"/>
      <c r="L40" s="248">
        <f>+SUM(J28:J40)/13</f>
        <v>4697.6401466795214</v>
      </c>
      <c r="M40" s="248">
        <f>+L40*$D$11</f>
        <v>468.82448663861624</v>
      </c>
      <c r="N40" s="248"/>
      <c r="O40" s="242">
        <f t="shared" si="3"/>
        <v>449.2869451858993</v>
      </c>
      <c r="P40" s="245">
        <f t="shared" si="6"/>
        <v>395.30099991526191</v>
      </c>
    </row>
    <row r="41" spans="1:16">
      <c r="A41" s="241">
        <v>2019</v>
      </c>
      <c r="B41" s="239">
        <f t="shared" si="4"/>
        <v>25</v>
      </c>
      <c r="C41" s="242">
        <f t="shared" si="1"/>
        <v>2299.75</v>
      </c>
      <c r="D41" s="242">
        <f>+SUM($C$17:C41)</f>
        <v>57493.75</v>
      </c>
      <c r="E41" s="242">
        <f t="shared" si="2"/>
        <v>35312.661250000005</v>
      </c>
      <c r="F41" s="242">
        <f>+E41+SUM($G$16:G40)</f>
        <v>41035.589125000006</v>
      </c>
      <c r="G41" s="242">
        <f t="shared" si="7"/>
        <v>478.15635416666669</v>
      </c>
      <c r="H41" s="245">
        <f t="shared" si="8"/>
        <v>417.64690267872771</v>
      </c>
      <c r="I41" s="239"/>
      <c r="J41" s="373">
        <f>-B41*$H$67-SUM($G$17:G41)</f>
        <v>5031.089400480816</v>
      </c>
      <c r="K41" s="239"/>
      <c r="L41" s="248"/>
      <c r="M41" s="248"/>
      <c r="N41" s="248"/>
      <c r="O41" s="242">
        <f t="shared" si="3"/>
        <v>449.2869451858993</v>
      </c>
      <c r="P41" s="245">
        <f t="shared" si="6"/>
        <v>393.19810636848518</v>
      </c>
    </row>
    <row r="42" spans="1:16">
      <c r="A42" s="241"/>
      <c r="B42" s="239">
        <f t="shared" si="4"/>
        <v>26</v>
      </c>
      <c r="C42" s="242">
        <f t="shared" si="1"/>
        <v>2299.75</v>
      </c>
      <c r="D42" s="242">
        <f>+SUM($C$17:C42)</f>
        <v>59793.5</v>
      </c>
      <c r="E42" s="242">
        <f t="shared" si="2"/>
        <v>36725.167700000005</v>
      </c>
      <c r="F42" s="242">
        <f>+E42+SUM($G$16:G41)</f>
        <v>42926.251929166669</v>
      </c>
      <c r="G42" s="242">
        <f t="shared" si="7"/>
        <v>497.28260833333337</v>
      </c>
      <c r="H42" s="245">
        <f t="shared" si="8"/>
        <v>432.00838633659168</v>
      </c>
      <c r="I42" s="239"/>
      <c r="J42" s="373">
        <f>-B42*$H$67-SUM($G$17:G42)</f>
        <v>4983.0937373333818</v>
      </c>
      <c r="K42" s="239"/>
      <c r="L42" s="248"/>
      <c r="M42" s="248"/>
      <c r="N42" s="248"/>
      <c r="O42" s="242">
        <f t="shared" si="3"/>
        <v>449.2869451858993</v>
      </c>
      <c r="P42" s="245">
        <f t="shared" si="6"/>
        <v>391.10639964205564</v>
      </c>
    </row>
    <row r="43" spans="1:16">
      <c r="A43" s="241"/>
      <c r="B43" s="239">
        <f t="shared" si="4"/>
        <v>27</v>
      </c>
      <c r="C43" s="242">
        <f t="shared" si="1"/>
        <v>2299.75</v>
      </c>
      <c r="D43" s="242">
        <f>+SUM($C$17:C43)</f>
        <v>62093.25</v>
      </c>
      <c r="E43" s="242">
        <f t="shared" si="2"/>
        <v>38137.674150000006</v>
      </c>
      <c r="F43" s="242">
        <f>+E43+SUM($G$16:G42)</f>
        <v>44836.040987500004</v>
      </c>
      <c r="G43" s="242">
        <f t="shared" si="7"/>
        <v>516.40886250000005</v>
      </c>
      <c r="H43" s="245">
        <f t="shared" si="8"/>
        <v>446.20267250933227</v>
      </c>
      <c r="I43" s="239"/>
      <c r="J43" s="373">
        <f>-B43*$H$67-SUM($G$17:G43)</f>
        <v>4915.9718200192801</v>
      </c>
      <c r="K43" s="239"/>
      <c r="L43" s="248"/>
      <c r="M43" s="248"/>
      <c r="N43" s="248"/>
      <c r="O43" s="242">
        <f t="shared" si="3"/>
        <v>449.2869451858993</v>
      </c>
      <c r="P43" s="245">
        <f t="shared" si="6"/>
        <v>389.02582022513883</v>
      </c>
    </row>
    <row r="44" spans="1:16">
      <c r="A44" s="241"/>
      <c r="B44" s="239">
        <f t="shared" si="4"/>
        <v>28</v>
      </c>
      <c r="C44" s="242">
        <f t="shared" si="1"/>
        <v>2299.75</v>
      </c>
      <c r="D44" s="242">
        <f>+SUM($C$17:C44)</f>
        <v>64393</v>
      </c>
      <c r="E44" s="242">
        <f t="shared" si="2"/>
        <v>39550.180600000007</v>
      </c>
      <c r="F44" s="242">
        <f>+E44+SUM($G$16:G43)</f>
        <v>46764.956300000005</v>
      </c>
      <c r="G44" s="242">
        <f t="shared" si="7"/>
        <v>535.53511666666668</v>
      </c>
      <c r="H44" s="245">
        <f t="shared" si="8"/>
        <v>460.231147689593</v>
      </c>
      <c r="I44" s="239"/>
      <c r="J44" s="373">
        <f>-B44*$H$67-SUM($G$17:G44)</f>
        <v>4829.7236485385138</v>
      </c>
      <c r="K44" s="239"/>
      <c r="L44" s="248"/>
      <c r="M44" s="248"/>
      <c r="N44" s="248"/>
      <c r="O44" s="242">
        <f t="shared" si="3"/>
        <v>449.2869451858993</v>
      </c>
      <c r="P44" s="245">
        <f t="shared" si="6"/>
        <v>386.9563089234818</v>
      </c>
    </row>
    <row r="45" spans="1:16">
      <c r="A45" s="241"/>
      <c r="B45" s="239">
        <f t="shared" si="4"/>
        <v>29</v>
      </c>
      <c r="C45" s="242">
        <f t="shared" si="1"/>
        <v>2299.75</v>
      </c>
      <c r="D45" s="242">
        <f>+SUM($C$17:C45)</f>
        <v>66692.75</v>
      </c>
      <c r="E45" s="242">
        <f t="shared" si="2"/>
        <v>40962.68705</v>
      </c>
      <c r="F45" s="242">
        <f>+E45+SUM($G$16:G44)</f>
        <v>48712.997866666665</v>
      </c>
      <c r="G45" s="242">
        <f t="shared" si="7"/>
        <v>554.66137083333331</v>
      </c>
      <c r="H45" s="245">
        <f t="shared" si="8"/>
        <v>474.09518827385466</v>
      </c>
      <c r="I45" s="239"/>
      <c r="J45" s="373">
        <f>-B45*$H$67-SUM($G$17:G45)</f>
        <v>4724.34922289108</v>
      </c>
      <c r="K45" s="239"/>
      <c r="L45" s="248"/>
      <c r="M45" s="248"/>
      <c r="N45" s="248"/>
      <c r="O45" s="242">
        <f t="shared" si="3"/>
        <v>449.2869451858993</v>
      </c>
      <c r="P45" s="245">
        <f t="shared" si="6"/>
        <v>384.89780685772905</v>
      </c>
    </row>
    <row r="46" spans="1:16">
      <c r="A46" s="241"/>
      <c r="B46" s="239">
        <f t="shared" si="4"/>
        <v>30</v>
      </c>
      <c r="C46" s="242">
        <f t="shared" si="1"/>
        <v>2299.75</v>
      </c>
      <c r="D46" s="242">
        <f>+SUM($C$17:C46)</f>
        <v>68992.5</v>
      </c>
      <c r="E46" s="242">
        <f t="shared" si="2"/>
        <v>42375.193500000001</v>
      </c>
      <c r="F46" s="242">
        <f>+E46+SUM($G$16:G45)</f>
        <v>50680.165687500004</v>
      </c>
      <c r="G46" s="242">
        <f t="shared" si="7"/>
        <v>573.78762500000005</v>
      </c>
      <c r="H46" s="245">
        <f t="shared" si="8"/>
        <v>487.79616063102958</v>
      </c>
      <c r="I46" s="239"/>
      <c r="J46" s="373">
        <f>-B46*$H$67-SUM($G$17:G46)</f>
        <v>4599.8485430769779</v>
      </c>
      <c r="K46" s="239"/>
      <c r="L46" s="248"/>
      <c r="M46" s="248"/>
      <c r="N46" s="248"/>
      <c r="O46" s="242">
        <f t="shared" si="3"/>
        <v>449.2869451858993</v>
      </c>
      <c r="P46" s="245">
        <f t="shared" si="6"/>
        <v>382.850255461747</v>
      </c>
    </row>
    <row r="47" spans="1:16">
      <c r="A47" s="241"/>
      <c r="B47" s="239">
        <f t="shared" si="4"/>
        <v>31</v>
      </c>
      <c r="C47" s="242">
        <f t="shared" si="1"/>
        <v>2299.75</v>
      </c>
      <c r="D47" s="242">
        <f>+SUM($C$17:C47)</f>
        <v>71292.25</v>
      </c>
      <c r="E47" s="242">
        <f t="shared" si="2"/>
        <v>43787.699950000002</v>
      </c>
      <c r="F47" s="242">
        <f>+E47+SUM($G$16:G46)</f>
        <v>52666.459762500002</v>
      </c>
      <c r="G47" s="242">
        <f t="shared" si="7"/>
        <v>592.91387916666667</v>
      </c>
      <c r="H47" s="245">
        <f t="shared" si="8"/>
        <v>501.33542117061029</v>
      </c>
      <c r="I47" s="239"/>
      <c r="J47" s="373">
        <f>-B47*$H$67-SUM($G$17:G47)</f>
        <v>4456.221609096212</v>
      </c>
      <c r="K47" s="239"/>
      <c r="L47" s="248"/>
      <c r="M47" s="248"/>
      <c r="N47" s="248"/>
      <c r="O47" s="242">
        <f t="shared" si="3"/>
        <v>449.2869451858993</v>
      </c>
      <c r="P47" s="245">
        <f t="shared" si="6"/>
        <v>380.81359648095793</v>
      </c>
    </row>
    <row r="48" spans="1:16">
      <c r="A48" s="241"/>
      <c r="B48" s="239">
        <f t="shared" si="4"/>
        <v>32</v>
      </c>
      <c r="C48" s="242">
        <f t="shared" si="1"/>
        <v>2299.75</v>
      </c>
      <c r="D48" s="242">
        <f>+SUM($C$17:C48)</f>
        <v>73592</v>
      </c>
      <c r="E48" s="242">
        <f t="shared" si="2"/>
        <v>45200.206400000003</v>
      </c>
      <c r="F48" s="242">
        <f>+E48+SUM($G$16:G47)</f>
        <v>54671.880091666666</v>
      </c>
      <c r="G48" s="242">
        <f t="shared" si="7"/>
        <v>612.0401333333333</v>
      </c>
      <c r="H48" s="245">
        <f t="shared" si="8"/>
        <v>514.71431641037555</v>
      </c>
      <c r="I48" s="239"/>
      <c r="J48" s="373">
        <f>-B48*$H$67-SUM($G$17:G48)</f>
        <v>4293.4684209487768</v>
      </c>
      <c r="K48" s="239"/>
      <c r="L48" s="248"/>
      <c r="M48" s="248"/>
      <c r="N48" s="248"/>
      <c r="O48" s="242">
        <f t="shared" si="3"/>
        <v>449.2869451858993</v>
      </c>
      <c r="P48" s="245">
        <f t="shared" si="6"/>
        <v>378.78777197068274</v>
      </c>
    </row>
    <row r="49" spans="1:16">
      <c r="A49" s="241"/>
      <c r="B49" s="239">
        <f t="shared" si="4"/>
        <v>33</v>
      </c>
      <c r="C49" s="242">
        <f t="shared" si="1"/>
        <v>2299.75</v>
      </c>
      <c r="D49" s="242">
        <f>+SUM($C$17:C49)</f>
        <v>75891.75</v>
      </c>
      <c r="E49" s="242">
        <f t="shared" si="2"/>
        <v>46612.712850000004</v>
      </c>
      <c r="F49" s="242">
        <f>+E49+SUM($G$16:G48)</f>
        <v>56696.426675000002</v>
      </c>
      <c r="G49" s="242">
        <f t="shared" si="7"/>
        <v>631.16638750000004</v>
      </c>
      <c r="H49" s="245">
        <f t="shared" si="8"/>
        <v>527.934183043654</v>
      </c>
      <c r="I49" s="239"/>
      <c r="J49" s="373">
        <f>-B49*$H$67-SUM($G$17:G49)</f>
        <v>4111.5889786346761</v>
      </c>
      <c r="K49" s="239"/>
      <c r="L49" s="248"/>
      <c r="M49" s="248"/>
      <c r="N49" s="248"/>
      <c r="O49" s="242">
        <f t="shared" si="3"/>
        <v>449.2869451858993</v>
      </c>
      <c r="P49" s="245">
        <f t="shared" si="6"/>
        <v>376.77272429449215</v>
      </c>
    </row>
    <row r="50" spans="1:16">
      <c r="A50" s="241"/>
      <c r="B50" s="239">
        <f t="shared" si="4"/>
        <v>34</v>
      </c>
      <c r="C50" s="242">
        <f t="shared" si="1"/>
        <v>2299.75</v>
      </c>
      <c r="D50" s="242">
        <f>+SUM($C$17:C50)</f>
        <v>78191.5</v>
      </c>
      <c r="E50" s="242">
        <f t="shared" si="2"/>
        <v>48025.219299999997</v>
      </c>
      <c r="F50" s="242">
        <f>+E50+SUM($G$16:G49)</f>
        <v>58740.099512499997</v>
      </c>
      <c r="G50" s="242">
        <f t="shared" si="7"/>
        <v>650.29264166666667</v>
      </c>
      <c r="H50" s="245">
        <f t="shared" si="8"/>
        <v>540.99634800615104</v>
      </c>
      <c r="I50" s="239"/>
      <c r="J50" s="373">
        <f>-B50*$H$67-SUM($G$17:G50)</f>
        <v>3910.5832821539097</v>
      </c>
      <c r="K50" s="239"/>
      <c r="L50" s="248"/>
      <c r="M50" s="248"/>
      <c r="N50" s="248"/>
      <c r="O50" s="242">
        <f t="shared" si="3"/>
        <v>449.2869451858993</v>
      </c>
      <c r="P50" s="245">
        <f t="shared" si="6"/>
        <v>374.76839612256703</v>
      </c>
    </row>
    <row r="51" spans="1:16">
      <c r="A51" s="241"/>
      <c r="B51" s="239">
        <f t="shared" si="4"/>
        <v>35</v>
      </c>
      <c r="C51" s="242">
        <f t="shared" si="1"/>
        <v>2299.75</v>
      </c>
      <c r="D51" s="242">
        <f>+SUM($C$17:C51)</f>
        <v>80491.25</v>
      </c>
      <c r="E51" s="242">
        <f t="shared" si="2"/>
        <v>49437.725749999998</v>
      </c>
      <c r="F51" s="242">
        <f>+E51+SUM($G$16:G50)</f>
        <v>60802.898604166665</v>
      </c>
      <c r="G51" s="242">
        <f t="shared" si="7"/>
        <v>669.41889583333329</v>
      </c>
      <c r="H51" s="245">
        <f t="shared" si="8"/>
        <v>553.90212854234005</v>
      </c>
      <c r="I51" s="239"/>
      <c r="J51" s="373">
        <f>-B51*$H$67-SUM($G$17:G51)</f>
        <v>3690.451331506476</v>
      </c>
      <c r="K51" s="239"/>
      <c r="L51" s="248"/>
      <c r="M51" s="248"/>
      <c r="N51" s="248"/>
      <c r="O51" s="242">
        <f t="shared" si="3"/>
        <v>449.2869451858993</v>
      </c>
      <c r="P51" s="245">
        <f t="shared" si="6"/>
        <v>372.77473043006711</v>
      </c>
    </row>
    <row r="52" spans="1:16">
      <c r="A52" s="241"/>
      <c r="B52" s="239">
        <f t="shared" si="4"/>
        <v>36</v>
      </c>
      <c r="C52" s="242">
        <f t="shared" si="1"/>
        <v>2299.75</v>
      </c>
      <c r="D52" s="242">
        <f>+SUM($C$17:C52)</f>
        <v>82791</v>
      </c>
      <c r="E52" s="242">
        <f t="shared" si="2"/>
        <v>50850.232199999999</v>
      </c>
      <c r="F52" s="242">
        <f>+E52+SUM($G$16:G51)</f>
        <v>62884.823949999998</v>
      </c>
      <c r="G52" s="242">
        <f t="shared" si="7"/>
        <v>688.54515000000004</v>
      </c>
      <c r="H52" s="245">
        <f t="shared" si="8"/>
        <v>566.65283227142106</v>
      </c>
      <c r="I52" s="239"/>
      <c r="J52" s="373">
        <f>-B52*$H$67-SUM($G$17:G52)</f>
        <v>3451.1931266923748</v>
      </c>
      <c r="K52" s="239"/>
      <c r="L52" s="248">
        <f>+SUM(J40:J52)/13</f>
        <v>4465.9647639103114</v>
      </c>
      <c r="M52" s="248">
        <f>+L52*$D$11</f>
        <v>445.70328343824906</v>
      </c>
      <c r="N52" s="248"/>
      <c r="O52" s="242">
        <f t="shared" si="3"/>
        <v>449.2869451858993</v>
      </c>
      <c r="P52" s="245">
        <f t="shared" si="6"/>
        <v>370.79167049550875</v>
      </c>
    </row>
    <row r="53" spans="1:16">
      <c r="A53" s="241">
        <v>2020</v>
      </c>
      <c r="B53" s="239">
        <f t="shared" si="4"/>
        <v>37</v>
      </c>
      <c r="C53" s="242">
        <f t="shared" si="1"/>
        <v>2299.75</v>
      </c>
      <c r="D53" s="242">
        <f>+SUM($C$17:C53)</f>
        <v>85090.75</v>
      </c>
      <c r="E53" s="242">
        <f t="shared" si="2"/>
        <v>52262.738649999999</v>
      </c>
      <c r="F53" s="242">
        <f>+E53+SUM($G$16:G52)</f>
        <v>64985.875549999997</v>
      </c>
      <c r="G53" s="242">
        <f t="shared" si="7"/>
        <v>707.67140416666678</v>
      </c>
      <c r="H53" s="245">
        <f t="shared" si="8"/>
        <v>579.24975725285071</v>
      </c>
      <c r="I53" s="239"/>
      <c r="J53" s="373">
        <f>-B53*$H$67-SUM($G$17:G53)</f>
        <v>3192.8086677116062</v>
      </c>
      <c r="K53" s="239"/>
      <c r="L53" s="248"/>
      <c r="M53" s="248"/>
      <c r="N53" s="248"/>
      <c r="O53" s="242">
        <f t="shared" si="3"/>
        <v>449.2869451858993</v>
      </c>
      <c r="P53" s="245">
        <f t="shared" si="6"/>
        <v>368.81915989915132</v>
      </c>
    </row>
    <row r="54" spans="1:16">
      <c r="A54" s="241"/>
      <c r="B54" s="239">
        <f t="shared" si="4"/>
        <v>38</v>
      </c>
      <c r="C54" s="242">
        <f t="shared" si="1"/>
        <v>2299.75</v>
      </c>
      <c r="D54" s="242">
        <f>+SUM($C$17:C54)</f>
        <v>87390.5</v>
      </c>
      <c r="E54" s="242">
        <f t="shared" si="2"/>
        <v>53675.2451</v>
      </c>
      <c r="F54" s="242">
        <f>+E54+SUM($G$16:G53)</f>
        <v>67106.053404166669</v>
      </c>
      <c r="G54" s="242">
        <f t="shared" si="7"/>
        <v>726.7976583333334</v>
      </c>
      <c r="H54" s="245">
        <f t="shared" si="8"/>
        <v>591.69419205144368</v>
      </c>
      <c r="I54" s="239"/>
      <c r="J54" s="373">
        <f>-B54*$H$67-SUM($G$17:G54)</f>
        <v>2915.2979545641738</v>
      </c>
      <c r="K54" s="239"/>
      <c r="L54" s="248"/>
      <c r="M54" s="248"/>
      <c r="N54" s="248"/>
      <c r="O54" s="242">
        <f t="shared" si="3"/>
        <v>449.2869451858993</v>
      </c>
      <c r="P54" s="245">
        <f t="shared" si="6"/>
        <v>366.85714252139167</v>
      </c>
    </row>
    <row r="55" spans="1:16">
      <c r="A55" s="241"/>
      <c r="B55" s="239">
        <f t="shared" si="4"/>
        <v>39</v>
      </c>
      <c r="C55" s="242">
        <f t="shared" si="1"/>
        <v>2299.75</v>
      </c>
      <c r="D55" s="242">
        <f>+SUM($C$17:C55)</f>
        <v>89690.25</v>
      </c>
      <c r="E55" s="242">
        <f t="shared" si="2"/>
        <v>55087.751550000001</v>
      </c>
      <c r="F55" s="242">
        <f>+E55+SUM($G$16:G54)</f>
        <v>69245.357512500006</v>
      </c>
      <c r="G55" s="242">
        <f t="shared" si="7"/>
        <v>745.92391250000003</v>
      </c>
      <c r="H55" s="245">
        <f t="shared" si="8"/>
        <v>603.98741580205115</v>
      </c>
      <c r="I55" s="239"/>
      <c r="J55" s="373">
        <f>-B55*$H$67-SUM($G$17:G55)</f>
        <v>2618.660987250074</v>
      </c>
      <c r="K55" s="239"/>
      <c r="L55" s="248"/>
      <c r="M55" s="248"/>
      <c r="N55" s="248"/>
      <c r="O55" s="242">
        <f t="shared" si="3"/>
        <v>449.2869451858993</v>
      </c>
      <c r="P55" s="245">
        <f t="shared" si="6"/>
        <v>364.90556254116763</v>
      </c>
    </row>
    <row r="56" spans="1:16">
      <c r="A56" s="241"/>
      <c r="B56" s="239">
        <f t="shared" si="4"/>
        <v>40</v>
      </c>
      <c r="C56" s="242">
        <f t="shared" si="1"/>
        <v>2299.75</v>
      </c>
      <c r="D56" s="242">
        <f>+SUM($C$17:C56)</f>
        <v>91990</v>
      </c>
      <c r="E56" s="242">
        <f t="shared" si="2"/>
        <v>56500.258000000002</v>
      </c>
      <c r="F56" s="242">
        <f>+E56+SUM($G$16:G55)</f>
        <v>71403.787875000009</v>
      </c>
      <c r="G56" s="242">
        <f t="shared" si="7"/>
        <v>765.05016666666677</v>
      </c>
      <c r="H56" s="245">
        <f t="shared" si="8"/>
        <v>616.13069827381707</v>
      </c>
      <c r="I56" s="239"/>
      <c r="J56" s="373">
        <f>-B56*$H$67-SUM($G$17:G56)</f>
        <v>2302.8977657693049</v>
      </c>
      <c r="K56" s="239"/>
      <c r="L56" s="248"/>
      <c r="M56" s="248"/>
      <c r="N56" s="248"/>
      <c r="O56" s="242">
        <f t="shared" si="3"/>
        <v>449.2869451858993</v>
      </c>
      <c r="P56" s="245">
        <f t="shared" si="6"/>
        <v>362.96436443436994</v>
      </c>
    </row>
    <row r="57" spans="1:16">
      <c r="A57" s="241"/>
      <c r="B57" s="239">
        <f t="shared" si="4"/>
        <v>41</v>
      </c>
      <c r="C57" s="242">
        <f t="shared" si="1"/>
        <v>2299.75</v>
      </c>
      <c r="D57" s="242">
        <f>+SUM($C$17:C57)</f>
        <v>94289.75</v>
      </c>
      <c r="E57" s="242">
        <f t="shared" si="2"/>
        <v>57912.764450000002</v>
      </c>
      <c r="F57" s="242">
        <f>+E57+SUM($G$16:G56)</f>
        <v>73581.344491666663</v>
      </c>
      <c r="G57" s="242">
        <f t="shared" si="7"/>
        <v>784.1764208333334</v>
      </c>
      <c r="H57" s="245">
        <f t="shared" si="8"/>
        <v>628.1252999340154</v>
      </c>
      <c r="I57" s="239"/>
      <c r="J57" s="373">
        <f>-B57*$H$67-SUM($G$17:G57)</f>
        <v>1968.0082901218702</v>
      </c>
      <c r="K57" s="239"/>
      <c r="L57" s="248"/>
      <c r="M57" s="248"/>
      <c r="N57" s="248"/>
      <c r="O57" s="242">
        <f t="shared" si="3"/>
        <v>449.2869451858993</v>
      </c>
      <c r="P57" s="245">
        <f t="shared" si="6"/>
        <v>361.03349297226254</v>
      </c>
    </row>
    <row r="58" spans="1:16">
      <c r="A58" s="241"/>
      <c r="B58" s="239">
        <f t="shared" si="4"/>
        <v>42</v>
      </c>
      <c r="C58" s="242">
        <f t="shared" si="1"/>
        <v>2299.75</v>
      </c>
      <c r="D58" s="242">
        <f>+SUM($C$17:C58)</f>
        <v>96589.5</v>
      </c>
      <c r="E58" s="242">
        <f t="shared" si="2"/>
        <v>59325.270900000003</v>
      </c>
      <c r="F58" s="242">
        <f>+E58+SUM($G$16:G57)</f>
        <v>75778.027362499997</v>
      </c>
      <c r="G58" s="242">
        <f t="shared" si="7"/>
        <v>803.30267500000002</v>
      </c>
      <c r="H58" s="245">
        <f t="shared" si="8"/>
        <v>639.97247201147161</v>
      </c>
      <c r="I58" s="239"/>
      <c r="J58" s="373">
        <f>-B58*$H$67-SUM($G$17:G58)</f>
        <v>1613.9925603077718</v>
      </c>
      <c r="K58" s="239"/>
      <c r="L58" s="248"/>
      <c r="M58" s="248"/>
      <c r="N58" s="248"/>
      <c r="O58" s="242">
        <f t="shared" si="3"/>
        <v>449.2869451858993</v>
      </c>
      <c r="P58" s="245">
        <f t="shared" si="6"/>
        <v>359.1128932199108</v>
      </c>
    </row>
    <row r="59" spans="1:16">
      <c r="A59" s="241"/>
      <c r="B59" s="239">
        <f t="shared" si="4"/>
        <v>43</v>
      </c>
      <c r="C59" s="242">
        <f t="shared" si="1"/>
        <v>2299.75</v>
      </c>
      <c r="D59" s="242">
        <f>+SUM($C$17:C59)</f>
        <v>98889.25</v>
      </c>
      <c r="E59" s="242">
        <f t="shared" si="2"/>
        <v>60737.777350000004</v>
      </c>
      <c r="F59" s="242">
        <f>+E59+SUM($G$16:G58)</f>
        <v>77993.836487499997</v>
      </c>
      <c r="G59" s="242">
        <f t="shared" si="7"/>
        <v>822.42892916666676</v>
      </c>
      <c r="H59" s="245">
        <f t="shared" si="8"/>
        <v>651.67345655957047</v>
      </c>
      <c r="I59" s="239"/>
      <c r="J59" s="373">
        <f>-B59*$H$67-SUM($G$17:G59)</f>
        <v>1240.8505763270005</v>
      </c>
      <c r="K59" s="239"/>
      <c r="L59" s="248"/>
      <c r="M59" s="248"/>
      <c r="N59" s="248"/>
      <c r="O59" s="242">
        <f t="shared" si="3"/>
        <v>449.2869451858993</v>
      </c>
      <c r="P59" s="245">
        <f t="shared" si="6"/>
        <v>357.20251053461953</v>
      </c>
    </row>
    <row r="60" spans="1:16">
      <c r="A60" s="241"/>
      <c r="B60" s="239">
        <f t="shared" si="4"/>
        <v>44</v>
      </c>
      <c r="C60" s="242">
        <f t="shared" si="1"/>
        <v>2299.75</v>
      </c>
      <c r="D60" s="242">
        <f>+SUM($C$17:C60)</f>
        <v>101189</v>
      </c>
      <c r="E60" s="242">
        <f t="shared" si="2"/>
        <v>62150.283800000005</v>
      </c>
      <c r="F60" s="242">
        <f>+E60+SUM($G$16:G59)</f>
        <v>80228.771866666677</v>
      </c>
      <c r="G60" s="242">
        <f t="shared" si="7"/>
        <v>841.55518333333339</v>
      </c>
      <c r="H60" s="245">
        <f t="shared" si="8"/>
        <v>663.22948651885156</v>
      </c>
      <c r="I60" s="239"/>
      <c r="J60" s="373">
        <f>-B60*$H$67-SUM($G$17:G60)</f>
        <v>848.58233817956716</v>
      </c>
      <c r="K60" s="239"/>
      <c r="L60" s="248"/>
      <c r="M60" s="248"/>
      <c r="N60" s="248"/>
      <c r="O60" s="242">
        <f t="shared" si="3"/>
        <v>449.2869451858993</v>
      </c>
      <c r="P60" s="245">
        <f t="shared" si="6"/>
        <v>355.30229056437736</v>
      </c>
    </row>
    <row r="61" spans="1:16">
      <c r="A61" s="241"/>
      <c r="B61" s="239">
        <f t="shared" si="4"/>
        <v>45</v>
      </c>
      <c r="C61" s="242">
        <f t="shared" si="1"/>
        <v>2299.75</v>
      </c>
      <c r="D61" s="242">
        <f>+SUM($C$17:C61)</f>
        <v>103488.75</v>
      </c>
      <c r="E61" s="242">
        <f t="shared" si="2"/>
        <v>63562.790250000005</v>
      </c>
      <c r="F61" s="242">
        <f>+E61+SUM($G$16:G60)</f>
        <v>82482.833500000008</v>
      </c>
      <c r="G61" s="242">
        <f t="shared" si="7"/>
        <v>860.68143750000002</v>
      </c>
      <c r="H61" s="245">
        <f t="shared" si="8"/>
        <v>674.64178577919859</v>
      </c>
      <c r="I61" s="239"/>
      <c r="J61" s="373">
        <f>-B61*$H$67-SUM($G$17:G61)</f>
        <v>437.18784586546826</v>
      </c>
      <c r="K61" s="239"/>
      <c r="L61" s="248"/>
      <c r="M61" s="248"/>
      <c r="N61" s="248"/>
      <c r="O61" s="242">
        <f t="shared" si="3"/>
        <v>449.2869451858993</v>
      </c>
      <c r="P61" s="245">
        <f t="shared" si="6"/>
        <v>353.41217924631098</v>
      </c>
    </row>
    <row r="62" spans="1:16">
      <c r="A62" s="239"/>
      <c r="B62" s="239">
        <f t="shared" si="4"/>
        <v>46</v>
      </c>
      <c r="C62" s="242">
        <f t="shared" si="1"/>
        <v>2299.75</v>
      </c>
      <c r="D62" s="242">
        <f>+SUM($C$17:C62)</f>
        <v>105788.5</v>
      </c>
      <c r="E62" s="242">
        <f t="shared" si="2"/>
        <v>64975.296699999999</v>
      </c>
      <c r="F62" s="242">
        <f>+E62+SUM($G$16:G61)</f>
        <v>84756.021387500004</v>
      </c>
      <c r="G62" s="242">
        <f t="shared" si="7"/>
        <v>879.80769166666676</v>
      </c>
      <c r="H62" s="245">
        <f t="shared" si="8"/>
        <v>685.91156924162112</v>
      </c>
      <c r="I62" s="239"/>
      <c r="J62" s="373">
        <f>-B62*$H$67-SUM($G$17:G62)</f>
        <v>6.6670993847001228</v>
      </c>
      <c r="K62" s="239"/>
      <c r="L62" s="248"/>
      <c r="M62" s="248"/>
      <c r="N62" s="248"/>
      <c r="O62" s="242">
        <f t="shared" si="3"/>
        <v>449.2869451858993</v>
      </c>
      <c r="P62" s="245">
        <f t="shared" si="6"/>
        <v>351.5321228051468</v>
      </c>
    </row>
    <row r="63" spans="1:16">
      <c r="A63" s="239"/>
      <c r="B63" s="239">
        <f t="shared" si="4"/>
        <v>47</v>
      </c>
      <c r="C63" s="242">
        <f t="shared" si="1"/>
        <v>2299.75</v>
      </c>
      <c r="D63" s="242">
        <f>+SUM($C$17:C63)</f>
        <v>108088.25</v>
      </c>
      <c r="E63" s="242">
        <f t="shared" si="2"/>
        <v>66387.803149999992</v>
      </c>
      <c r="F63" s="242">
        <f>+E63+SUM($G$16:G62)</f>
        <v>87048.335529166652</v>
      </c>
      <c r="G63" s="242">
        <f t="shared" si="7"/>
        <v>898.93394583333338</v>
      </c>
      <c r="H63" s="245">
        <f t="shared" si="8"/>
        <v>697.04004287963323</v>
      </c>
      <c r="I63" s="239"/>
      <c r="J63" s="373">
        <f>-B63*$H$67-SUM($G$17:G63)</f>
        <v>-442.97990126273362</v>
      </c>
      <c r="K63" s="239"/>
      <c r="L63" s="248"/>
      <c r="M63" s="248"/>
      <c r="N63" s="248"/>
      <c r="O63" s="242">
        <f t="shared" si="3"/>
        <v>449.2869451858993</v>
      </c>
      <c r="P63" s="245">
        <f t="shared" si="6"/>
        <v>349.66206775168092</v>
      </c>
    </row>
    <row r="64" spans="1:16">
      <c r="A64" s="239"/>
      <c r="B64" s="239">
        <f t="shared" si="4"/>
        <v>48</v>
      </c>
      <c r="C64" s="242">
        <f t="shared" si="1"/>
        <v>2299.75</v>
      </c>
      <c r="D64" s="242">
        <f>+SUM($C$17:C64)</f>
        <v>110388</v>
      </c>
      <c r="E64" s="242">
        <f t="shared" si="2"/>
        <v>67800.309600000008</v>
      </c>
      <c r="F64" s="242">
        <f>+E64+SUM($G$16:G63)</f>
        <v>89359.775925000009</v>
      </c>
      <c r="G64" s="249">
        <f t="shared" si="7"/>
        <v>918.06020000000001</v>
      </c>
      <c r="H64" s="250">
        <f t="shared" si="8"/>
        <v>708.02840380023258</v>
      </c>
      <c r="I64" s="239"/>
      <c r="J64" s="373">
        <f>-B64*$H$67-SUM($G$17:G64)</f>
        <v>-911.75315607683297</v>
      </c>
      <c r="K64" s="239"/>
      <c r="L64" s="248">
        <f>+SUM(J52:J64)/13</f>
        <v>1480.1087811411032</v>
      </c>
      <c r="M64" s="248">
        <f>+L64*$D$11</f>
        <v>147.7148563578821</v>
      </c>
      <c r="N64" s="248"/>
      <c r="O64" s="242">
        <f t="shared" si="3"/>
        <v>449.2869451858993</v>
      </c>
      <c r="P64" s="245">
        <f t="shared" si="6"/>
        <v>347.80196088125763</v>
      </c>
    </row>
    <row r="65" spans="1:16" ht="15.75" thickBot="1">
      <c r="A65" s="239"/>
      <c r="B65" s="239"/>
      <c r="C65" s="239"/>
      <c r="D65" s="239"/>
      <c r="E65" s="239"/>
      <c r="F65" s="239"/>
      <c r="G65" s="251">
        <f>SUM(G17:G64)</f>
        <v>22477.526525000001</v>
      </c>
      <c r="H65" s="252">
        <f>SUM(H17:H64)</f>
        <v>18904.832188793971</v>
      </c>
      <c r="I65" s="243"/>
      <c r="J65" s="243"/>
      <c r="K65" s="243"/>
      <c r="L65" s="248"/>
      <c r="M65" s="254"/>
      <c r="N65" s="248"/>
      <c r="O65" s="251">
        <f>SUM(O17:O64)</f>
        <v>21565.773368923172</v>
      </c>
      <c r="P65" s="252">
        <f>SUM(P17:P64)</f>
        <v>18975.617531655549</v>
      </c>
    </row>
    <row r="66" spans="1:16" ht="15.75" thickTop="1">
      <c r="A66" s="239"/>
      <c r="B66" s="239"/>
      <c r="C66" s="239"/>
      <c r="D66" s="239"/>
      <c r="E66" s="239"/>
      <c r="F66" s="239"/>
      <c r="G66" s="239"/>
      <c r="H66" s="239"/>
      <c r="I66" s="239"/>
      <c r="J66" s="239"/>
      <c r="K66" s="239"/>
      <c r="L66" s="248"/>
      <c r="M66" s="248"/>
      <c r="N66" s="248"/>
      <c r="O66" s="239"/>
      <c r="P66" s="239"/>
    </row>
    <row r="67" spans="1:16" ht="15.75" thickBot="1">
      <c r="A67" s="239"/>
      <c r="B67" s="239"/>
      <c r="C67" s="239"/>
      <c r="D67" s="239" t="s">
        <v>591</v>
      </c>
      <c r="E67" s="239"/>
      <c r="F67" s="239"/>
      <c r="G67" s="239"/>
      <c r="H67" s="247">
        <f>PMT($C$10/12,48,H65)</f>
        <v>-449.2869451858993</v>
      </c>
      <c r="I67" s="239"/>
      <c r="J67" s="239"/>
      <c r="K67" s="239"/>
      <c r="L67" s="248"/>
      <c r="M67" s="255">
        <f>SUM(M18:M64)</f>
        <v>1276.1992270476153</v>
      </c>
      <c r="N67" s="248"/>
      <c r="O67" s="239"/>
      <c r="P67" s="239"/>
    </row>
    <row r="68" spans="1:16" ht="16.5" thickTop="1" thickBot="1">
      <c r="A68" s="239"/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48"/>
      <c r="M68" s="256">
        <f>M67/4</f>
        <v>319.04980676190382</v>
      </c>
      <c r="N68" s="248"/>
      <c r="O68" s="239"/>
      <c r="P68" s="239"/>
    </row>
    <row r="69" spans="1:16" ht="16.5" thickTop="1" thickBot="1">
      <c r="A69" s="239"/>
      <c r="B69" s="239"/>
      <c r="C69" s="239"/>
      <c r="D69" s="239" t="s">
        <v>592</v>
      </c>
      <c r="E69" s="239"/>
      <c r="F69" s="239"/>
      <c r="G69" s="239"/>
      <c r="H69" s="253">
        <f>H67*12</f>
        <v>-5391.443342230792</v>
      </c>
      <c r="I69" s="239"/>
      <c r="J69" s="239"/>
      <c r="K69" s="239"/>
      <c r="L69" s="248"/>
      <c r="M69" s="248"/>
      <c r="N69" s="248"/>
      <c r="O69" s="239"/>
      <c r="P69" s="239"/>
    </row>
    <row r="70" spans="1:16" ht="15.75" thickTop="1">
      <c r="A70" s="239"/>
      <c r="B70" s="239"/>
      <c r="C70" s="239"/>
      <c r="D70" s="239"/>
      <c r="E70" s="239"/>
      <c r="F70" s="239"/>
      <c r="G70" s="239"/>
      <c r="H70" s="239"/>
      <c r="I70" s="239"/>
      <c r="J70" s="239"/>
      <c r="K70" s="239"/>
      <c r="L70" s="248"/>
      <c r="M70" s="248"/>
      <c r="N70" s="248"/>
      <c r="O70" s="239"/>
      <c r="P70" s="239"/>
    </row>
    <row r="71" spans="1:16">
      <c r="A71" s="239"/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48"/>
      <c r="M71" s="248"/>
      <c r="N71" s="248"/>
      <c r="O71" s="239"/>
      <c r="P71" s="239"/>
    </row>
    <row r="72" spans="1:16">
      <c r="A72" s="239"/>
      <c r="B72" s="239"/>
      <c r="C72" s="239"/>
      <c r="D72" s="239"/>
      <c r="E72" s="239"/>
      <c r="F72" s="239"/>
      <c r="G72" s="239"/>
      <c r="H72" s="239"/>
      <c r="I72" s="239"/>
      <c r="J72" s="239"/>
      <c r="K72" s="239"/>
      <c r="L72" s="248"/>
      <c r="M72" s="248"/>
      <c r="N72" s="248"/>
      <c r="O72" s="239"/>
      <c r="P72" s="239"/>
    </row>
    <row r="73" spans="1:16">
      <c r="A73" s="239"/>
      <c r="B73" s="239"/>
      <c r="C73" s="239"/>
      <c r="D73" s="239"/>
      <c r="E73" s="239"/>
      <c r="F73" s="239"/>
      <c r="G73" s="239"/>
      <c r="H73" s="239"/>
      <c r="I73" s="239"/>
      <c r="J73" s="239"/>
      <c r="K73" s="239"/>
      <c r="L73" s="248"/>
      <c r="M73" s="248"/>
      <c r="N73" s="248"/>
      <c r="O73" s="239"/>
      <c r="P73" s="239"/>
    </row>
    <row r="74" spans="1:16">
      <c r="A74" s="239"/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48"/>
      <c r="M74" s="248"/>
      <c r="N74" s="248"/>
      <c r="O74" s="239"/>
      <c r="P74" s="239"/>
    </row>
    <row r="75" spans="1:16">
      <c r="A75" s="239"/>
      <c r="B75" s="239"/>
      <c r="C75" s="239"/>
      <c r="D75" s="239"/>
      <c r="E75" s="239"/>
      <c r="F75" s="239"/>
      <c r="G75" s="239"/>
      <c r="H75" s="239"/>
      <c r="I75" s="239"/>
      <c r="J75" s="239"/>
      <c r="K75" s="239"/>
      <c r="L75" s="248"/>
      <c r="M75" s="248"/>
      <c r="N75" s="248"/>
      <c r="O75" s="239"/>
      <c r="P75" s="239"/>
    </row>
    <row r="76" spans="1:16">
      <c r="A76" s="239"/>
      <c r="B76" s="239"/>
      <c r="C76" s="239"/>
      <c r="D76" s="239"/>
      <c r="E76" s="239"/>
      <c r="F76" s="239"/>
      <c r="G76" s="239"/>
      <c r="H76" s="239"/>
      <c r="I76" s="239"/>
      <c r="J76" s="239"/>
      <c r="K76" s="239"/>
      <c r="L76" s="248"/>
      <c r="M76" s="248"/>
      <c r="N76" s="248"/>
      <c r="O76" s="239"/>
      <c r="P76" s="239"/>
    </row>
    <row r="77" spans="1:16">
      <c r="A77" s="239"/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48"/>
      <c r="M77" s="248"/>
      <c r="N77" s="248"/>
      <c r="O77" s="239"/>
      <c r="P77" s="239"/>
    </row>
    <row r="78" spans="1:16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48"/>
      <c r="M78" s="248"/>
      <c r="N78" s="248"/>
      <c r="O78" s="239"/>
      <c r="P78" s="239"/>
    </row>
    <row r="79" spans="1:16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48"/>
      <c r="M79" s="248"/>
      <c r="N79" s="248"/>
      <c r="O79" s="239"/>
      <c r="P79" s="239"/>
    </row>
    <row r="80" spans="1:16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48"/>
      <c r="M80" s="248"/>
      <c r="N80" s="248"/>
      <c r="O80" s="239"/>
      <c r="P80" s="239"/>
    </row>
    <row r="81" spans="1:16">
      <c r="A81" s="239"/>
      <c r="B81" s="239"/>
      <c r="C81" s="239"/>
      <c r="D81" s="239"/>
      <c r="E81" s="239"/>
      <c r="F81" s="239"/>
      <c r="G81" s="239"/>
      <c r="H81" s="239"/>
      <c r="I81" s="239"/>
      <c r="J81" s="239"/>
      <c r="K81" s="239"/>
      <c r="L81" s="248"/>
      <c r="M81" s="248"/>
      <c r="N81" s="248"/>
      <c r="O81" s="239"/>
      <c r="P81" s="239"/>
    </row>
    <row r="82" spans="1:16">
      <c r="A82" s="239"/>
      <c r="B82" s="239"/>
      <c r="C82" s="239"/>
      <c r="D82" s="239"/>
      <c r="E82" s="239"/>
      <c r="F82" s="239"/>
      <c r="G82" s="239"/>
      <c r="H82" s="239"/>
      <c r="I82" s="239"/>
      <c r="J82" s="239"/>
      <c r="K82" s="239"/>
      <c r="L82" s="248"/>
      <c r="M82" s="248"/>
      <c r="N82" s="248"/>
      <c r="O82" s="239"/>
      <c r="P82" s="239"/>
    </row>
    <row r="83" spans="1:16">
      <c r="A83" s="239"/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48"/>
      <c r="M83" s="248"/>
      <c r="N83" s="248"/>
      <c r="O83" s="239"/>
      <c r="P83" s="239"/>
    </row>
    <row r="84" spans="1:16">
      <c r="A84" s="239"/>
      <c r="B84" s="239"/>
      <c r="C84" s="239"/>
      <c r="D84" s="239"/>
      <c r="E84" s="239"/>
      <c r="F84" s="239"/>
      <c r="G84" s="239"/>
      <c r="H84" s="239"/>
      <c r="I84" s="239"/>
      <c r="J84" s="239"/>
      <c r="K84" s="239"/>
      <c r="L84" s="248"/>
      <c r="M84" s="248"/>
      <c r="N84" s="248"/>
      <c r="O84" s="239"/>
      <c r="P84" s="239"/>
    </row>
    <row r="85" spans="1:16">
      <c r="A85" s="239"/>
      <c r="B85" s="239"/>
      <c r="C85" s="239"/>
      <c r="D85" s="239"/>
      <c r="E85" s="239"/>
      <c r="F85" s="239"/>
      <c r="G85" s="239"/>
      <c r="H85" s="239"/>
      <c r="I85" s="239"/>
      <c r="J85" s="239"/>
      <c r="K85" s="239"/>
      <c r="L85" s="248"/>
      <c r="M85" s="248"/>
      <c r="N85" s="248"/>
      <c r="O85" s="239"/>
      <c r="P85" s="239"/>
    </row>
    <row r="86" spans="1:16">
      <c r="A86" s="239"/>
      <c r="B86" s="239"/>
      <c r="C86" s="239"/>
      <c r="D86" s="239"/>
      <c r="E86" s="239"/>
      <c r="F86" s="239"/>
      <c r="G86" s="239"/>
      <c r="H86" s="239"/>
      <c r="I86" s="239"/>
      <c r="J86" s="239"/>
      <c r="K86" s="239"/>
      <c r="L86" s="248"/>
      <c r="M86" s="248"/>
      <c r="N86" s="248"/>
      <c r="O86" s="239"/>
      <c r="P86" s="239"/>
    </row>
    <row r="87" spans="1:16">
      <c r="A87" s="239"/>
      <c r="B87" s="239"/>
      <c r="C87" s="239"/>
      <c r="D87" s="239"/>
      <c r="E87" s="239"/>
      <c r="F87" s="239"/>
      <c r="G87" s="239"/>
      <c r="H87" s="239"/>
      <c r="I87" s="239"/>
      <c r="J87" s="239"/>
      <c r="K87" s="239"/>
      <c r="L87" s="248"/>
      <c r="M87" s="248"/>
      <c r="N87" s="248"/>
      <c r="O87" s="239"/>
      <c r="P87" s="239"/>
    </row>
    <row r="88" spans="1:16">
      <c r="A88" s="239"/>
      <c r="B88" s="239"/>
      <c r="C88" s="239"/>
      <c r="D88" s="239"/>
      <c r="E88" s="239"/>
      <c r="F88" s="239"/>
      <c r="G88" s="239"/>
      <c r="H88" s="239"/>
      <c r="I88" s="239"/>
      <c r="J88" s="239"/>
      <c r="K88" s="239"/>
      <c r="L88" s="248"/>
      <c r="M88" s="248"/>
      <c r="N88" s="248"/>
      <c r="O88" s="239"/>
      <c r="P88" s="239"/>
    </row>
    <row r="89" spans="1:16">
      <c r="A89" s="239"/>
      <c r="B89" s="239"/>
      <c r="C89" s="239"/>
      <c r="D89" s="239"/>
      <c r="E89" s="239"/>
      <c r="F89" s="239"/>
      <c r="G89" s="239"/>
      <c r="H89" s="239"/>
      <c r="I89" s="239"/>
      <c r="J89" s="239"/>
      <c r="K89" s="239"/>
      <c r="L89" s="248"/>
      <c r="M89" s="248"/>
      <c r="N89" s="248"/>
      <c r="O89" s="239"/>
      <c r="P89" s="239"/>
    </row>
    <row r="90" spans="1:16">
      <c r="A90" s="239"/>
      <c r="B90" s="239"/>
      <c r="C90" s="239"/>
      <c r="D90" s="239"/>
      <c r="E90" s="239"/>
      <c r="F90" s="239"/>
      <c r="G90" s="239"/>
      <c r="H90" s="239"/>
      <c r="I90" s="239"/>
      <c r="J90" s="239"/>
      <c r="K90" s="239"/>
      <c r="L90" s="248"/>
      <c r="M90" s="248"/>
      <c r="N90" s="248"/>
      <c r="O90" s="239"/>
      <c r="P90" s="239"/>
    </row>
    <row r="91" spans="1:16">
      <c r="A91" s="239"/>
      <c r="B91" s="239"/>
      <c r="C91" s="239"/>
      <c r="D91" s="239"/>
      <c r="E91" s="239"/>
      <c r="F91" s="239"/>
      <c r="G91" s="239"/>
      <c r="H91" s="239"/>
      <c r="I91" s="239"/>
      <c r="J91" s="239"/>
      <c r="K91" s="239"/>
      <c r="L91" s="248"/>
      <c r="M91" s="248"/>
      <c r="N91" s="248"/>
      <c r="O91" s="239"/>
      <c r="P91" s="239"/>
    </row>
    <row r="92" spans="1:16">
      <c r="A92" s="239"/>
      <c r="B92" s="239"/>
      <c r="C92" s="239"/>
      <c r="D92" s="239"/>
      <c r="E92" s="239"/>
      <c r="F92" s="239"/>
      <c r="G92" s="239"/>
      <c r="H92" s="239"/>
      <c r="I92" s="239"/>
      <c r="J92" s="239"/>
      <c r="K92" s="239"/>
      <c r="L92" s="248"/>
      <c r="M92" s="248"/>
      <c r="N92" s="248"/>
      <c r="O92" s="239"/>
      <c r="P92" s="239"/>
    </row>
    <row r="93" spans="1:16">
      <c r="A93" s="239"/>
      <c r="B93" s="239"/>
      <c r="C93" s="239"/>
      <c r="D93" s="239"/>
      <c r="E93" s="239"/>
      <c r="F93" s="239"/>
      <c r="G93" s="239"/>
      <c r="H93" s="239"/>
      <c r="I93" s="239"/>
      <c r="J93" s="239"/>
      <c r="K93" s="239"/>
      <c r="L93" s="248"/>
      <c r="M93" s="248"/>
      <c r="N93" s="248"/>
      <c r="O93" s="239"/>
      <c r="P93" s="239"/>
    </row>
    <row r="94" spans="1:16">
      <c r="A94" s="239"/>
      <c r="B94" s="239"/>
      <c r="C94" s="239"/>
      <c r="D94" s="239"/>
      <c r="E94" s="239"/>
      <c r="F94" s="239"/>
      <c r="G94" s="239"/>
      <c r="H94" s="239"/>
      <c r="I94" s="239"/>
      <c r="J94" s="239"/>
      <c r="K94" s="239"/>
      <c r="L94" s="248"/>
      <c r="M94" s="248"/>
      <c r="N94" s="248"/>
      <c r="O94" s="239"/>
      <c r="P94" s="239"/>
    </row>
    <row r="95" spans="1:16">
      <c r="A95" s="239"/>
      <c r="B95" s="239"/>
      <c r="C95" s="239"/>
      <c r="D95" s="239"/>
      <c r="E95" s="239"/>
      <c r="F95" s="239"/>
      <c r="G95" s="239"/>
      <c r="H95" s="239"/>
      <c r="I95" s="239"/>
      <c r="J95" s="239"/>
      <c r="K95" s="239"/>
      <c r="L95" s="248"/>
      <c r="M95" s="248"/>
      <c r="N95" s="248"/>
      <c r="O95" s="239"/>
      <c r="P95" s="239"/>
    </row>
    <row r="96" spans="1:16">
      <c r="A96" s="239"/>
      <c r="B96" s="239"/>
      <c r="C96" s="239"/>
      <c r="D96" s="239"/>
      <c r="E96" s="239"/>
      <c r="F96" s="239"/>
      <c r="G96" s="239"/>
      <c r="H96" s="239"/>
      <c r="I96" s="239"/>
      <c r="J96" s="239"/>
      <c r="K96" s="239"/>
      <c r="L96" s="248"/>
      <c r="M96" s="248"/>
      <c r="N96" s="248"/>
      <c r="O96" s="239"/>
      <c r="P96" s="239"/>
    </row>
    <row r="97" spans="1:16">
      <c r="A97" s="239"/>
      <c r="B97" s="239"/>
      <c r="C97" s="239"/>
      <c r="D97" s="239"/>
      <c r="E97" s="239"/>
      <c r="F97" s="239"/>
      <c r="G97" s="239"/>
      <c r="H97" s="239"/>
      <c r="I97" s="239"/>
      <c r="J97" s="239"/>
      <c r="K97" s="239"/>
      <c r="L97" s="248"/>
      <c r="M97" s="248"/>
      <c r="N97" s="248"/>
      <c r="O97" s="239"/>
      <c r="P97" s="239"/>
    </row>
    <row r="98" spans="1:16">
      <c r="A98" s="239"/>
      <c r="B98" s="239"/>
      <c r="C98" s="239"/>
      <c r="D98" s="239"/>
      <c r="E98" s="239"/>
      <c r="F98" s="239"/>
      <c r="G98" s="239"/>
      <c r="H98" s="239"/>
      <c r="I98" s="239"/>
      <c r="J98" s="239"/>
      <c r="K98" s="239"/>
      <c r="L98" s="248"/>
      <c r="M98" s="248"/>
      <c r="N98" s="248"/>
      <c r="O98" s="239"/>
      <c r="P98" s="239"/>
    </row>
    <row r="99" spans="1:16">
      <c r="A99" s="239"/>
      <c r="B99" s="239"/>
      <c r="C99" s="239"/>
      <c r="D99" s="239"/>
      <c r="E99" s="239"/>
      <c r="F99" s="239"/>
      <c r="G99" s="239"/>
      <c r="H99" s="239"/>
      <c r="I99" s="239"/>
      <c r="J99" s="239"/>
      <c r="K99" s="239"/>
      <c r="L99" s="248"/>
      <c r="M99" s="248"/>
      <c r="N99" s="248"/>
      <c r="O99" s="239"/>
      <c r="P99" s="239"/>
    </row>
    <row r="100" spans="1:16">
      <c r="A100" s="239"/>
      <c r="B100" s="239"/>
      <c r="C100" s="239"/>
      <c r="D100" s="239"/>
      <c r="E100" s="239"/>
      <c r="F100" s="239"/>
      <c r="G100" s="239"/>
      <c r="H100" s="239"/>
      <c r="I100" s="239"/>
      <c r="J100" s="239"/>
      <c r="K100" s="239"/>
      <c r="L100" s="248"/>
      <c r="M100" s="248"/>
      <c r="N100" s="248"/>
      <c r="O100" s="239"/>
      <c r="P100" s="239"/>
    </row>
    <row r="101" spans="1:16">
      <c r="A101" s="239"/>
      <c r="B101" s="239"/>
      <c r="C101" s="239"/>
      <c r="D101" s="239"/>
      <c r="E101" s="239"/>
      <c r="F101" s="239"/>
      <c r="G101" s="239"/>
      <c r="H101" s="239"/>
      <c r="I101" s="239"/>
      <c r="J101" s="239"/>
      <c r="K101" s="239"/>
      <c r="L101" s="248"/>
      <c r="M101" s="248"/>
      <c r="N101" s="248"/>
      <c r="O101" s="239"/>
      <c r="P101" s="239"/>
    </row>
    <row r="102" spans="1:16">
      <c r="A102" s="239"/>
      <c r="B102" s="239"/>
      <c r="C102" s="239"/>
      <c r="D102" s="239"/>
      <c r="E102" s="239"/>
      <c r="F102" s="239"/>
      <c r="G102" s="239"/>
      <c r="H102" s="239"/>
      <c r="I102" s="239"/>
      <c r="J102" s="239"/>
      <c r="K102" s="239"/>
      <c r="L102" s="248"/>
      <c r="M102" s="248"/>
      <c r="N102" s="248"/>
      <c r="O102" s="239"/>
      <c r="P102" s="239"/>
    </row>
    <row r="103" spans="1:16">
      <c r="A103" s="239"/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48"/>
      <c r="M103" s="248"/>
      <c r="N103" s="248"/>
      <c r="O103" s="239"/>
      <c r="P103" s="239"/>
    </row>
    <row r="104" spans="1:16">
      <c r="A104" s="239"/>
      <c r="B104" s="239"/>
      <c r="C104" s="239"/>
      <c r="D104" s="239"/>
      <c r="E104" s="239"/>
      <c r="F104" s="239"/>
      <c r="G104" s="239"/>
      <c r="H104" s="239"/>
      <c r="I104" s="239"/>
      <c r="J104" s="239"/>
      <c r="K104" s="239"/>
      <c r="L104" s="248"/>
      <c r="M104" s="248"/>
      <c r="N104" s="248"/>
      <c r="O104" s="239"/>
      <c r="P104" s="239"/>
    </row>
    <row r="105" spans="1:16">
      <c r="A105" s="239"/>
      <c r="B105" s="239"/>
      <c r="C105" s="239"/>
      <c r="D105" s="239"/>
      <c r="E105" s="239"/>
      <c r="F105" s="239"/>
      <c r="G105" s="239"/>
      <c r="H105" s="239"/>
      <c r="I105" s="239"/>
      <c r="J105" s="239"/>
      <c r="K105" s="239"/>
      <c r="L105" s="248"/>
      <c r="M105" s="248"/>
      <c r="N105" s="248"/>
      <c r="O105" s="239"/>
      <c r="P105" s="239"/>
    </row>
    <row r="106" spans="1:16">
      <c r="A106" s="239"/>
      <c r="B106" s="239"/>
      <c r="C106" s="239"/>
      <c r="D106" s="239"/>
      <c r="E106" s="239"/>
      <c r="F106" s="239"/>
      <c r="G106" s="239"/>
      <c r="H106" s="239"/>
      <c r="I106" s="239"/>
      <c r="J106" s="239"/>
      <c r="K106" s="239"/>
      <c r="L106" s="248"/>
      <c r="M106" s="248"/>
      <c r="N106" s="248"/>
      <c r="O106" s="239"/>
      <c r="P106" s="239"/>
    </row>
    <row r="107" spans="1:16">
      <c r="A107" s="239"/>
      <c r="B107" s="239"/>
      <c r="C107" s="239"/>
      <c r="D107" s="239"/>
      <c r="E107" s="239"/>
      <c r="F107" s="239"/>
      <c r="G107" s="239"/>
      <c r="H107" s="239"/>
      <c r="I107" s="239"/>
      <c r="J107" s="239"/>
      <c r="K107" s="239"/>
      <c r="L107" s="248"/>
      <c r="M107" s="248"/>
      <c r="N107" s="248"/>
      <c r="O107" s="239"/>
      <c r="P107" s="239"/>
    </row>
    <row r="108" spans="1:16">
      <c r="A108" s="239"/>
      <c r="B108" s="239"/>
      <c r="C108" s="239"/>
      <c r="D108" s="239"/>
      <c r="E108" s="239"/>
      <c r="F108" s="239"/>
      <c r="G108" s="239"/>
      <c r="H108" s="239"/>
      <c r="I108" s="239"/>
      <c r="J108" s="239"/>
      <c r="K108" s="239"/>
      <c r="L108" s="248"/>
      <c r="M108" s="248"/>
      <c r="N108" s="248"/>
      <c r="O108" s="239"/>
      <c r="P108" s="239"/>
    </row>
    <row r="109" spans="1:16">
      <c r="A109" s="239"/>
      <c r="B109" s="239"/>
      <c r="C109" s="239"/>
      <c r="D109" s="239"/>
      <c r="E109" s="239"/>
      <c r="F109" s="239"/>
      <c r="G109" s="239"/>
      <c r="H109" s="239"/>
      <c r="I109" s="239"/>
      <c r="J109" s="239"/>
      <c r="K109" s="239"/>
      <c r="L109" s="248"/>
      <c r="M109" s="248"/>
      <c r="N109" s="248"/>
      <c r="O109" s="239"/>
      <c r="P109" s="239"/>
    </row>
    <row r="110" spans="1:16">
      <c r="A110" s="239"/>
      <c r="B110" s="239"/>
      <c r="C110" s="239"/>
      <c r="D110" s="239"/>
      <c r="E110" s="239"/>
      <c r="F110" s="239"/>
      <c r="G110" s="239"/>
      <c r="H110" s="239"/>
      <c r="I110" s="239"/>
      <c r="J110" s="239"/>
      <c r="K110" s="239"/>
      <c r="L110" s="248"/>
      <c r="M110" s="248"/>
      <c r="N110" s="248"/>
      <c r="O110" s="239"/>
      <c r="P110" s="239"/>
    </row>
    <row r="111" spans="1:16">
      <c r="A111" s="239"/>
      <c r="B111" s="239"/>
      <c r="C111" s="239"/>
      <c r="D111" s="239"/>
      <c r="E111" s="239"/>
      <c r="F111" s="239"/>
      <c r="G111" s="239"/>
      <c r="H111" s="239"/>
      <c r="I111" s="239"/>
      <c r="J111" s="239"/>
      <c r="K111" s="239"/>
      <c r="L111" s="248"/>
      <c r="M111" s="248"/>
      <c r="N111" s="248"/>
      <c r="O111" s="239"/>
      <c r="P111" s="239"/>
    </row>
    <row r="112" spans="1:16">
      <c r="A112" s="239"/>
      <c r="B112" s="239"/>
      <c r="C112" s="239"/>
      <c r="D112" s="239"/>
      <c r="E112" s="239"/>
      <c r="F112" s="239"/>
      <c r="G112" s="239"/>
      <c r="H112" s="239"/>
      <c r="I112" s="239"/>
      <c r="J112" s="239"/>
      <c r="K112" s="239"/>
      <c r="L112" s="248"/>
      <c r="M112" s="248"/>
      <c r="N112" s="248"/>
      <c r="O112" s="239"/>
      <c r="P112" s="239"/>
    </row>
    <row r="113" spans="1:16">
      <c r="A113" s="239"/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48"/>
      <c r="M113" s="248"/>
      <c r="N113" s="248"/>
      <c r="O113" s="239"/>
      <c r="P113" s="239"/>
    </row>
    <row r="114" spans="1:16">
      <c r="A114" s="239"/>
      <c r="B114" s="239"/>
      <c r="C114" s="239"/>
      <c r="D114" s="239"/>
      <c r="E114" s="239"/>
      <c r="F114" s="239"/>
      <c r="G114" s="239"/>
      <c r="H114" s="239"/>
      <c r="I114" s="239"/>
      <c r="J114" s="239"/>
      <c r="K114" s="239"/>
      <c r="L114" s="248"/>
      <c r="M114" s="248"/>
      <c r="N114" s="248"/>
      <c r="O114" s="239"/>
      <c r="P114" s="239"/>
    </row>
    <row r="115" spans="1:16">
      <c r="A115" s="239"/>
      <c r="B115" s="239"/>
      <c r="C115" s="239"/>
      <c r="D115" s="239"/>
      <c r="E115" s="239"/>
      <c r="F115" s="239"/>
      <c r="G115" s="239"/>
      <c r="H115" s="239"/>
      <c r="I115" s="239"/>
      <c r="J115" s="239"/>
      <c r="K115" s="239"/>
      <c r="L115" s="248"/>
      <c r="M115" s="248"/>
      <c r="N115" s="248"/>
      <c r="O115" s="239"/>
      <c r="P115" s="239"/>
    </row>
    <row r="116" spans="1:16">
      <c r="A116" s="239"/>
      <c r="B116" s="239"/>
      <c r="C116" s="239"/>
      <c r="D116" s="239"/>
      <c r="E116" s="239"/>
      <c r="F116" s="239"/>
      <c r="G116" s="239"/>
      <c r="H116" s="239"/>
      <c r="I116" s="239"/>
      <c r="J116" s="239"/>
      <c r="K116" s="239"/>
      <c r="L116" s="248"/>
      <c r="M116" s="248"/>
      <c r="N116" s="248"/>
      <c r="O116" s="239"/>
      <c r="P116" s="239"/>
    </row>
    <row r="117" spans="1:16">
      <c r="A117" s="239"/>
      <c r="B117" s="239"/>
      <c r="C117" s="239"/>
      <c r="D117" s="239"/>
      <c r="E117" s="239"/>
      <c r="F117" s="239"/>
      <c r="G117" s="239"/>
      <c r="H117" s="239"/>
      <c r="I117" s="239"/>
      <c r="J117" s="239"/>
      <c r="K117" s="239"/>
      <c r="L117" s="248"/>
      <c r="M117" s="248"/>
      <c r="N117" s="248"/>
      <c r="O117" s="239"/>
      <c r="P117" s="239"/>
    </row>
    <row r="118" spans="1:16">
      <c r="A118" s="239"/>
      <c r="B118" s="239"/>
      <c r="C118" s="239"/>
      <c r="D118" s="239"/>
      <c r="E118" s="239"/>
      <c r="F118" s="239"/>
      <c r="G118" s="239"/>
      <c r="H118" s="239"/>
      <c r="I118" s="239"/>
      <c r="J118" s="239"/>
      <c r="K118" s="239"/>
      <c r="L118" s="248"/>
      <c r="M118" s="248"/>
      <c r="N118" s="248"/>
      <c r="O118" s="239"/>
      <c r="P118" s="239"/>
    </row>
    <row r="119" spans="1:16">
      <c r="A119" s="239"/>
      <c r="B119" s="239"/>
      <c r="C119" s="239"/>
      <c r="D119" s="239"/>
      <c r="E119" s="239"/>
      <c r="F119" s="239"/>
      <c r="G119" s="239"/>
      <c r="H119" s="239"/>
      <c r="I119" s="239"/>
      <c r="J119" s="239"/>
      <c r="K119" s="239"/>
      <c r="L119" s="248"/>
      <c r="M119" s="248"/>
      <c r="N119" s="248"/>
      <c r="O119" s="239"/>
      <c r="P119" s="239"/>
    </row>
    <row r="120" spans="1:16">
      <c r="A120" s="239"/>
      <c r="B120" s="239"/>
      <c r="C120" s="239"/>
      <c r="D120" s="239"/>
      <c r="E120" s="239"/>
      <c r="F120" s="239"/>
      <c r="G120" s="239"/>
      <c r="H120" s="239"/>
      <c r="I120" s="239"/>
      <c r="J120" s="239"/>
      <c r="K120" s="239"/>
      <c r="L120" s="248"/>
      <c r="M120" s="248"/>
      <c r="N120" s="248"/>
      <c r="O120" s="239"/>
      <c r="P120" s="239"/>
    </row>
    <row r="121" spans="1:16">
      <c r="A121" s="239"/>
      <c r="B121" s="239"/>
      <c r="C121" s="239"/>
      <c r="D121" s="239"/>
      <c r="E121" s="239"/>
      <c r="F121" s="239"/>
      <c r="G121" s="239"/>
      <c r="H121" s="239"/>
      <c r="I121" s="239"/>
      <c r="J121" s="239"/>
      <c r="K121" s="239"/>
      <c r="L121" s="248"/>
      <c r="M121" s="248"/>
      <c r="N121" s="248"/>
      <c r="O121" s="239"/>
      <c r="P121" s="239"/>
    </row>
    <row r="122" spans="1:16">
      <c r="A122" s="239"/>
      <c r="B122" s="239"/>
      <c r="C122" s="239"/>
      <c r="D122" s="239"/>
      <c r="E122" s="239"/>
      <c r="F122" s="239"/>
      <c r="G122" s="239"/>
      <c r="H122" s="239"/>
      <c r="I122" s="239"/>
      <c r="J122" s="239"/>
      <c r="K122" s="239"/>
      <c r="L122" s="248"/>
      <c r="M122" s="248"/>
      <c r="N122" s="248"/>
      <c r="O122" s="239"/>
      <c r="P122" s="239"/>
    </row>
    <row r="123" spans="1:16">
      <c r="A123" s="239"/>
      <c r="B123" s="239"/>
      <c r="C123" s="239"/>
      <c r="D123" s="239"/>
      <c r="E123" s="239"/>
      <c r="F123" s="239"/>
      <c r="G123" s="239"/>
      <c r="H123" s="239"/>
      <c r="I123" s="239"/>
      <c r="J123" s="239"/>
      <c r="K123" s="239"/>
      <c r="L123" s="248"/>
      <c r="M123" s="248"/>
      <c r="N123" s="248"/>
      <c r="O123" s="239"/>
      <c r="P123" s="239"/>
    </row>
    <row r="124" spans="1:16">
      <c r="A124" s="239"/>
      <c r="B124" s="239"/>
      <c r="C124" s="239"/>
      <c r="D124" s="239"/>
      <c r="E124" s="239"/>
      <c r="F124" s="239"/>
      <c r="G124" s="239"/>
      <c r="H124" s="239"/>
      <c r="I124" s="239"/>
      <c r="J124" s="239"/>
      <c r="K124" s="239"/>
      <c r="L124" s="248"/>
      <c r="M124" s="248"/>
      <c r="N124" s="248"/>
      <c r="O124" s="239"/>
      <c r="P124" s="239"/>
    </row>
    <row r="125" spans="1:16">
      <c r="A125" s="239"/>
      <c r="B125" s="239"/>
      <c r="C125" s="239"/>
      <c r="D125" s="239"/>
      <c r="E125" s="239"/>
      <c r="F125" s="239"/>
      <c r="G125" s="239"/>
      <c r="H125" s="239"/>
      <c r="I125" s="239"/>
      <c r="J125" s="239"/>
      <c r="K125" s="239"/>
      <c r="L125" s="248"/>
      <c r="M125" s="248"/>
      <c r="N125" s="248"/>
      <c r="O125" s="239"/>
      <c r="P125" s="239"/>
    </row>
    <row r="126" spans="1:16">
      <c r="A126" s="239"/>
      <c r="B126" s="239"/>
      <c r="C126" s="239"/>
      <c r="D126" s="239"/>
      <c r="E126" s="239"/>
      <c r="F126" s="239"/>
      <c r="G126" s="239"/>
      <c r="H126" s="239"/>
      <c r="I126" s="239"/>
      <c r="J126" s="239"/>
      <c r="K126" s="239"/>
      <c r="L126" s="248"/>
      <c r="M126" s="248"/>
      <c r="N126" s="248"/>
      <c r="O126" s="239"/>
      <c r="P126" s="239"/>
    </row>
    <row r="127" spans="1:16">
      <c r="A127" s="239"/>
      <c r="B127" s="239"/>
      <c r="C127" s="239"/>
      <c r="D127" s="239"/>
      <c r="E127" s="239"/>
      <c r="F127" s="239"/>
      <c r="G127" s="239"/>
      <c r="H127" s="239"/>
      <c r="I127" s="239"/>
      <c r="J127" s="239"/>
      <c r="K127" s="239"/>
      <c r="L127" s="248"/>
      <c r="M127" s="248"/>
      <c r="N127" s="248"/>
      <c r="O127" s="239"/>
      <c r="P127" s="239"/>
    </row>
    <row r="128" spans="1:16">
      <c r="A128" s="239"/>
      <c r="B128" s="239"/>
      <c r="C128" s="239"/>
      <c r="D128" s="239"/>
      <c r="E128" s="239"/>
      <c r="F128" s="239"/>
      <c r="G128" s="239"/>
      <c r="H128" s="239"/>
      <c r="I128" s="239"/>
      <c r="J128" s="239"/>
      <c r="K128" s="239"/>
      <c r="L128" s="248"/>
      <c r="M128" s="248"/>
      <c r="N128" s="248"/>
      <c r="O128" s="239"/>
      <c r="P128" s="239"/>
    </row>
    <row r="129" spans="1:16">
      <c r="A129" s="239"/>
      <c r="B129" s="239"/>
      <c r="C129" s="239"/>
      <c r="D129" s="239"/>
      <c r="E129" s="239"/>
      <c r="F129" s="239"/>
      <c r="G129" s="239"/>
      <c r="H129" s="239"/>
      <c r="I129" s="239"/>
      <c r="J129" s="239"/>
      <c r="K129" s="239"/>
      <c r="L129" s="248"/>
      <c r="M129" s="248"/>
      <c r="N129" s="248"/>
      <c r="O129" s="239"/>
      <c r="P129" s="239"/>
    </row>
    <row r="130" spans="1:16">
      <c r="A130" s="239"/>
      <c r="B130" s="239"/>
      <c r="C130" s="239"/>
      <c r="D130" s="239"/>
      <c r="E130" s="239"/>
      <c r="F130" s="239"/>
      <c r="G130" s="239"/>
      <c r="H130" s="239"/>
      <c r="I130" s="239"/>
      <c r="J130" s="239"/>
      <c r="K130" s="239"/>
      <c r="L130" s="248"/>
      <c r="M130" s="248"/>
      <c r="N130" s="248"/>
      <c r="O130" s="239"/>
      <c r="P130" s="239"/>
    </row>
    <row r="131" spans="1:16">
      <c r="A131" s="239"/>
      <c r="B131" s="239"/>
      <c r="C131" s="239"/>
      <c r="D131" s="239"/>
      <c r="E131" s="239"/>
      <c r="F131" s="239"/>
      <c r="G131" s="239"/>
      <c r="H131" s="239"/>
      <c r="I131" s="239"/>
      <c r="J131" s="239"/>
      <c r="K131" s="239"/>
      <c r="L131" s="248"/>
      <c r="M131" s="248"/>
      <c r="N131" s="248"/>
      <c r="O131" s="239"/>
      <c r="P131" s="239"/>
    </row>
    <row r="132" spans="1:16">
      <c r="A132" s="239"/>
      <c r="B132" s="239"/>
      <c r="C132" s="239"/>
      <c r="D132" s="239"/>
      <c r="E132" s="239"/>
      <c r="F132" s="239"/>
      <c r="G132" s="239"/>
      <c r="H132" s="239"/>
      <c r="I132" s="239"/>
      <c r="J132" s="239"/>
      <c r="K132" s="239"/>
      <c r="L132" s="248"/>
      <c r="M132" s="248"/>
      <c r="N132" s="248"/>
      <c r="O132" s="239"/>
      <c r="P132" s="239"/>
    </row>
    <row r="133" spans="1:16">
      <c r="A133" s="239"/>
      <c r="B133" s="239"/>
      <c r="C133" s="239"/>
      <c r="D133" s="239"/>
      <c r="E133" s="239"/>
      <c r="F133" s="239"/>
      <c r="G133" s="239"/>
      <c r="H133" s="239"/>
      <c r="I133" s="239"/>
      <c r="J133" s="239"/>
      <c r="K133" s="239"/>
      <c r="L133" s="248"/>
      <c r="M133" s="248"/>
      <c r="N133" s="248"/>
      <c r="O133" s="239"/>
      <c r="P133" s="239"/>
    </row>
    <row r="134" spans="1:16">
      <c r="A134" s="239"/>
      <c r="B134" s="239"/>
      <c r="C134" s="239"/>
      <c r="D134" s="239"/>
      <c r="E134" s="239"/>
      <c r="F134" s="239"/>
      <c r="G134" s="239"/>
      <c r="H134" s="239"/>
      <c r="I134" s="239"/>
      <c r="J134" s="239"/>
      <c r="K134" s="239"/>
      <c r="L134" s="248"/>
      <c r="M134" s="248"/>
      <c r="N134" s="248"/>
      <c r="O134" s="239"/>
      <c r="P134" s="239"/>
    </row>
    <row r="135" spans="1:16">
      <c r="A135" s="239"/>
      <c r="B135" s="239"/>
      <c r="C135" s="239"/>
      <c r="D135" s="239"/>
      <c r="E135" s="239"/>
      <c r="F135" s="239"/>
      <c r="G135" s="239"/>
      <c r="H135" s="239"/>
      <c r="I135" s="239"/>
      <c r="J135" s="239"/>
      <c r="K135" s="239"/>
      <c r="L135" s="248"/>
      <c r="M135" s="248"/>
      <c r="N135" s="248"/>
      <c r="O135" s="239"/>
      <c r="P135" s="239"/>
    </row>
    <row r="136" spans="1:16">
      <c r="A136" s="239"/>
      <c r="B136" s="239"/>
      <c r="C136" s="239"/>
      <c r="D136" s="239"/>
      <c r="E136" s="239"/>
      <c r="F136" s="239"/>
      <c r="G136" s="239"/>
      <c r="H136" s="239"/>
      <c r="I136" s="239"/>
      <c r="J136" s="239"/>
      <c r="K136" s="239"/>
      <c r="L136" s="248"/>
      <c r="M136" s="248"/>
      <c r="N136" s="248"/>
      <c r="O136" s="239"/>
      <c r="P136" s="239"/>
    </row>
    <row r="137" spans="1:16">
      <c r="A137" s="239"/>
      <c r="B137" s="239"/>
      <c r="C137" s="239"/>
      <c r="D137" s="239"/>
      <c r="E137" s="239"/>
      <c r="F137" s="239"/>
      <c r="G137" s="239"/>
      <c r="H137" s="239"/>
      <c r="I137" s="239"/>
      <c r="J137" s="239"/>
      <c r="K137" s="239"/>
      <c r="L137" s="248"/>
      <c r="M137" s="248"/>
      <c r="N137" s="248"/>
      <c r="O137" s="239"/>
      <c r="P137" s="239"/>
    </row>
    <row r="138" spans="1:16">
      <c r="A138" s="239"/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48"/>
      <c r="M138" s="248"/>
      <c r="N138" s="248"/>
      <c r="O138" s="239"/>
      <c r="P138" s="239"/>
    </row>
    <row r="139" spans="1:16">
      <c r="A139" s="239"/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48"/>
      <c r="M139" s="248"/>
      <c r="N139" s="248"/>
      <c r="O139" s="239"/>
      <c r="P139" s="239"/>
    </row>
    <row r="140" spans="1:16">
      <c r="A140" s="239"/>
      <c r="B140" s="239"/>
      <c r="C140" s="239"/>
      <c r="D140" s="239"/>
      <c r="E140" s="239"/>
      <c r="F140" s="239"/>
      <c r="G140" s="239"/>
      <c r="H140" s="239"/>
      <c r="I140" s="239"/>
      <c r="J140" s="239"/>
      <c r="K140" s="239"/>
      <c r="L140" s="248"/>
      <c r="M140" s="248"/>
      <c r="N140" s="248"/>
      <c r="O140" s="239"/>
      <c r="P140" s="239"/>
    </row>
    <row r="141" spans="1:16">
      <c r="A141" s="239"/>
      <c r="B141" s="239"/>
      <c r="C141" s="239"/>
      <c r="D141" s="239"/>
      <c r="E141" s="239"/>
      <c r="F141" s="239"/>
      <c r="G141" s="239"/>
      <c r="H141" s="239"/>
      <c r="I141" s="239"/>
      <c r="J141" s="239"/>
      <c r="K141" s="239"/>
      <c r="L141" s="248"/>
      <c r="M141" s="248"/>
      <c r="N141" s="248"/>
      <c r="O141" s="239"/>
      <c r="P141" s="239"/>
    </row>
    <row r="142" spans="1:16">
      <c r="A142" s="239"/>
      <c r="B142" s="239"/>
      <c r="C142" s="239"/>
      <c r="D142" s="239"/>
      <c r="E142" s="239"/>
      <c r="F142" s="239"/>
      <c r="G142" s="239"/>
      <c r="H142" s="239"/>
      <c r="I142" s="239"/>
      <c r="J142" s="239"/>
      <c r="K142" s="239"/>
      <c r="L142" s="248"/>
      <c r="M142" s="248"/>
      <c r="N142" s="248"/>
      <c r="O142" s="239"/>
      <c r="P142" s="239"/>
    </row>
    <row r="143" spans="1:16">
      <c r="A143" s="239"/>
      <c r="B143" s="239"/>
      <c r="C143" s="239"/>
      <c r="D143" s="239"/>
      <c r="E143" s="239"/>
      <c r="F143" s="239"/>
      <c r="G143" s="239"/>
      <c r="H143" s="239"/>
      <c r="I143" s="239"/>
      <c r="J143" s="239"/>
      <c r="K143" s="239"/>
      <c r="L143" s="248"/>
      <c r="M143" s="248"/>
      <c r="N143" s="248"/>
      <c r="O143" s="239"/>
      <c r="P143" s="239"/>
    </row>
    <row r="144" spans="1:16">
      <c r="A144" s="239"/>
      <c r="B144" s="239"/>
      <c r="C144" s="239"/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</row>
    <row r="145" spans="1:16">
      <c r="A145" s="239"/>
      <c r="B145" s="239"/>
      <c r="C145" s="239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</row>
    <row r="146" spans="1:16">
      <c r="A146" s="239"/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</row>
    <row r="147" spans="1:16">
      <c r="A147" s="239"/>
      <c r="B147" s="239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</row>
    <row r="148" spans="1:16">
      <c r="A148" s="239"/>
      <c r="B148" s="239"/>
      <c r="C148" s="239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</row>
    <row r="149" spans="1:16">
      <c r="A149" s="239"/>
      <c r="B149" s="239"/>
      <c r="C149" s="239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</row>
    <row r="150" spans="1:16">
      <c r="A150" s="239"/>
      <c r="B150" s="239"/>
      <c r="C150" s="239"/>
      <c r="D150" s="239"/>
      <c r="E150" s="239"/>
      <c r="F150" s="239"/>
      <c r="G150" s="239"/>
      <c r="H150" s="239"/>
      <c r="I150" s="239"/>
      <c r="J150" s="239"/>
      <c r="K150" s="239"/>
      <c r="L150" s="239"/>
      <c r="M150" s="239"/>
      <c r="N150" s="239"/>
      <c r="O150" s="239"/>
      <c r="P150" s="239"/>
    </row>
    <row r="151" spans="1:16">
      <c r="A151" s="239"/>
      <c r="B151" s="239"/>
      <c r="C151" s="239"/>
      <c r="D151" s="239"/>
      <c r="E151" s="239"/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</row>
    <row r="152" spans="1:16">
      <c r="A152" s="239"/>
      <c r="B152" s="239"/>
      <c r="C152" s="239"/>
      <c r="D152" s="239"/>
      <c r="E152" s="239"/>
      <c r="F152" s="239"/>
      <c r="G152" s="239"/>
      <c r="H152" s="239"/>
      <c r="I152" s="239"/>
      <c r="J152" s="239"/>
      <c r="K152" s="239"/>
      <c r="L152" s="239"/>
      <c r="M152" s="239"/>
      <c r="N152" s="239"/>
      <c r="O152" s="239"/>
      <c r="P152" s="239"/>
    </row>
    <row r="153" spans="1:16">
      <c r="A153" s="239"/>
      <c r="B153" s="239"/>
      <c r="C153" s="239"/>
      <c r="D153" s="239"/>
      <c r="E153" s="239"/>
      <c r="F153" s="239"/>
      <c r="G153" s="239"/>
      <c r="H153" s="239"/>
      <c r="I153" s="239"/>
      <c r="J153" s="239"/>
      <c r="K153" s="239"/>
      <c r="L153" s="239"/>
      <c r="M153" s="239"/>
      <c r="N153" s="239"/>
      <c r="O153" s="239"/>
      <c r="P153" s="239"/>
    </row>
    <row r="154" spans="1:16">
      <c r="A154" s="239"/>
      <c r="B154" s="239"/>
      <c r="C154" s="239"/>
      <c r="D154" s="239"/>
      <c r="E154" s="239"/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</row>
    <row r="155" spans="1:16">
      <c r="A155" s="239"/>
      <c r="B155" s="239"/>
      <c r="C155" s="239"/>
      <c r="D155" s="239"/>
      <c r="E155" s="239"/>
      <c r="F155" s="239"/>
      <c r="G155" s="239"/>
      <c r="H155" s="239"/>
      <c r="I155" s="239"/>
      <c r="J155" s="239"/>
      <c r="K155" s="239"/>
      <c r="L155" s="239"/>
      <c r="M155" s="239"/>
      <c r="N155" s="239"/>
      <c r="O155" s="239"/>
      <c r="P155" s="239"/>
    </row>
  </sheetData>
  <mergeCells count="5">
    <mergeCell ref="A4:M4"/>
    <mergeCell ref="A5:M5"/>
    <mergeCell ref="A1:M1"/>
    <mergeCell ref="A2:M2"/>
    <mergeCell ref="A3:M3"/>
  </mergeCells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zoomScaleNormal="100" workbookViewId="0">
      <selection activeCell="G9" sqref="G9"/>
    </sheetView>
  </sheetViews>
  <sheetFormatPr defaultRowHeight="12.75"/>
  <cols>
    <col min="1" max="1" width="1.85546875" customWidth="1"/>
    <col min="2" max="2" width="15.85546875" customWidth="1"/>
    <col min="3" max="3" width="2.140625" customWidth="1"/>
    <col min="4" max="4" width="19" customWidth="1"/>
    <col min="5" max="5" width="2.140625" customWidth="1"/>
    <col min="6" max="6" width="12.140625" customWidth="1"/>
    <col min="7" max="7" width="2.140625" customWidth="1"/>
    <col min="8" max="8" width="9.85546875" customWidth="1"/>
    <col min="9" max="9" width="2.140625" customWidth="1"/>
    <col min="10" max="10" width="12.7109375" customWidth="1"/>
    <col min="11" max="11" width="2.140625" customWidth="1"/>
    <col min="12" max="12" width="10.42578125" customWidth="1"/>
    <col min="13" max="13" width="2.140625" customWidth="1"/>
    <col min="14" max="14" width="12" customWidth="1"/>
    <col min="15" max="15" width="2.28515625" customWidth="1"/>
    <col min="16" max="16" width="10.140625" customWidth="1"/>
    <col min="17" max="17" width="2.140625" customWidth="1"/>
    <col min="18" max="18" width="10.5703125" customWidth="1"/>
  </cols>
  <sheetData>
    <row r="1" spans="1:21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</row>
    <row r="2" spans="1:21">
      <c r="A2" s="375" t="s">
        <v>515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</row>
    <row r="3" spans="1:21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</row>
    <row r="4" spans="1:21">
      <c r="A4" s="375" t="s">
        <v>66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</row>
    <row r="5" spans="1:21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</row>
    <row r="6" spans="1:2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</row>
    <row r="7" spans="1:21">
      <c r="A7" s="166" t="s">
        <v>516</v>
      </c>
      <c r="B7" s="176"/>
      <c r="C7" s="176"/>
      <c r="D7" s="176"/>
      <c r="E7" s="176"/>
      <c r="F7" s="176"/>
      <c r="G7" s="176"/>
      <c r="H7" s="176" t="s">
        <v>481</v>
      </c>
      <c r="I7" s="176"/>
      <c r="J7" s="176" t="s">
        <v>481</v>
      </c>
      <c r="K7" s="176"/>
      <c r="L7" s="176"/>
      <c r="M7" s="176"/>
      <c r="N7" s="176" t="s">
        <v>481</v>
      </c>
      <c r="O7" s="176"/>
      <c r="P7" s="176" t="s">
        <v>300</v>
      </c>
      <c r="Q7" s="176"/>
      <c r="R7" s="176" t="s">
        <v>300</v>
      </c>
      <c r="S7" s="158"/>
      <c r="T7" s="158"/>
      <c r="U7" s="158"/>
    </row>
    <row r="8" spans="1:21">
      <c r="A8" s="166"/>
      <c r="B8" s="176"/>
      <c r="C8" s="176"/>
      <c r="D8" s="176"/>
      <c r="E8" s="176"/>
      <c r="F8" s="176" t="s">
        <v>481</v>
      </c>
      <c r="G8" s="176"/>
      <c r="H8" s="176" t="s">
        <v>519</v>
      </c>
      <c r="I8" s="176"/>
      <c r="J8" s="176" t="s">
        <v>479</v>
      </c>
      <c r="K8" s="176"/>
      <c r="L8" s="176" t="s">
        <v>300</v>
      </c>
      <c r="M8" s="176"/>
      <c r="N8" s="176" t="s">
        <v>519</v>
      </c>
      <c r="O8" s="176"/>
      <c r="P8" s="155" t="s">
        <v>479</v>
      </c>
      <c r="Q8" s="176"/>
      <c r="R8" s="176" t="s">
        <v>479</v>
      </c>
      <c r="S8" s="158"/>
      <c r="T8" s="158"/>
      <c r="U8" s="158"/>
    </row>
    <row r="9" spans="1:21">
      <c r="A9" s="166"/>
      <c r="B9" s="176"/>
      <c r="C9" s="176"/>
      <c r="D9" s="176"/>
      <c r="E9" s="176"/>
      <c r="F9" s="176" t="s">
        <v>474</v>
      </c>
      <c r="G9" s="176"/>
      <c r="H9" s="176" t="s">
        <v>520</v>
      </c>
      <c r="I9" s="176"/>
      <c r="J9" s="176" t="s">
        <v>480</v>
      </c>
      <c r="K9" s="176"/>
      <c r="L9" s="176" t="s">
        <v>521</v>
      </c>
      <c r="M9" s="176"/>
      <c r="N9" s="176" t="s">
        <v>520</v>
      </c>
      <c r="O9" s="176"/>
      <c r="P9" s="155" t="s">
        <v>480</v>
      </c>
      <c r="Q9" s="176"/>
      <c r="R9" s="176" t="s">
        <v>480</v>
      </c>
      <c r="S9" s="158"/>
      <c r="T9" s="158"/>
      <c r="U9" s="158"/>
    </row>
    <row r="10" spans="1:21">
      <c r="A10" s="176"/>
      <c r="B10" s="176"/>
      <c r="C10" s="176"/>
      <c r="D10" s="169" t="s">
        <v>483</v>
      </c>
      <c r="E10" s="176"/>
      <c r="F10" s="169" t="s">
        <v>475</v>
      </c>
      <c r="G10" s="176"/>
      <c r="H10" s="169" t="s">
        <v>311</v>
      </c>
      <c r="I10" s="176"/>
      <c r="J10" s="169" t="s">
        <v>475</v>
      </c>
      <c r="K10" s="176"/>
      <c r="L10" s="169" t="s">
        <v>522</v>
      </c>
      <c r="M10" s="176"/>
      <c r="N10" s="169" t="s">
        <v>311</v>
      </c>
      <c r="O10" s="158"/>
      <c r="P10" s="190" t="s">
        <v>475</v>
      </c>
      <c r="Q10" s="158"/>
      <c r="R10" s="169" t="s">
        <v>301</v>
      </c>
      <c r="S10" s="158"/>
      <c r="T10" s="158"/>
      <c r="U10" s="158"/>
    </row>
    <row r="11" spans="1:21">
      <c r="A11" s="176"/>
      <c r="B11" s="166" t="s">
        <v>517</v>
      </c>
      <c r="C11" s="176"/>
      <c r="D11" s="166" t="s">
        <v>518</v>
      </c>
      <c r="E11" s="176"/>
      <c r="F11" s="276">
        <v>741.276477</v>
      </c>
      <c r="G11" s="176"/>
      <c r="H11" s="299">
        <f>F11/J11</f>
        <v>19.576139417381025</v>
      </c>
      <c r="I11" s="176"/>
      <c r="J11" s="276">
        <v>37.866326000000001</v>
      </c>
      <c r="K11" s="276"/>
      <c r="L11" s="300">
        <f>2052-2039</f>
        <v>13</v>
      </c>
      <c r="M11" s="276"/>
      <c r="N11" s="275">
        <f>H11+L11</f>
        <v>32.576139417381029</v>
      </c>
      <c r="O11" s="285"/>
      <c r="P11" s="285">
        <f>F11/N11</f>
        <v>22.755197216662552</v>
      </c>
      <c r="Q11" s="285"/>
      <c r="R11" s="285">
        <f>P11-J11</f>
        <v>-15.111128783337449</v>
      </c>
      <c r="S11" s="158"/>
      <c r="T11" s="158"/>
      <c r="U11" s="158"/>
    </row>
    <row r="12" spans="1:21">
      <c r="A12" s="176"/>
      <c r="B12" s="166"/>
      <c r="C12" s="176"/>
      <c r="D12" s="166"/>
      <c r="E12" s="176"/>
      <c r="F12" s="276"/>
      <c r="G12" s="176"/>
      <c r="H12" s="276"/>
      <c r="I12" s="176"/>
      <c r="J12" s="276"/>
      <c r="K12" s="276"/>
      <c r="L12" s="276"/>
      <c r="M12" s="276"/>
      <c r="N12" s="275"/>
      <c r="O12" s="285"/>
      <c r="P12" s="285"/>
      <c r="Q12" s="285"/>
      <c r="R12" s="285"/>
      <c r="S12" s="158"/>
      <c r="T12" s="158"/>
      <c r="U12" s="158"/>
    </row>
    <row r="13" spans="1:21">
      <c r="A13" s="176"/>
      <c r="B13" s="166" t="s">
        <v>523</v>
      </c>
      <c r="C13" s="176"/>
      <c r="D13" s="166" t="s">
        <v>518</v>
      </c>
      <c r="E13" s="176"/>
      <c r="F13" s="276">
        <v>197.98998700000001</v>
      </c>
      <c r="G13" s="176"/>
      <c r="H13" s="299">
        <f>F13/J13</f>
        <v>18.011499650531945</v>
      </c>
      <c r="I13" s="176"/>
      <c r="J13" s="276">
        <v>10.992421</v>
      </c>
      <c r="K13" s="276"/>
      <c r="L13" s="300">
        <f>2052-2038</f>
        <v>14</v>
      </c>
      <c r="M13" s="276"/>
      <c r="N13" s="275">
        <f>H13+L13</f>
        <v>32.011499650531945</v>
      </c>
      <c r="O13" s="285"/>
      <c r="P13" s="285">
        <f>F13/N13</f>
        <v>6.1849644396997174</v>
      </c>
      <c r="Q13" s="285"/>
      <c r="R13" s="288">
        <f>P13-J13</f>
        <v>-4.8074565603002828</v>
      </c>
      <c r="S13" s="158"/>
      <c r="T13" s="158"/>
      <c r="U13" s="158"/>
    </row>
    <row r="14" spans="1:21">
      <c r="A14" s="176"/>
      <c r="B14" s="166"/>
      <c r="C14" s="176"/>
      <c r="D14" s="166"/>
      <c r="E14" s="176"/>
      <c r="F14" s="276"/>
      <c r="G14" s="176"/>
      <c r="H14" s="276"/>
      <c r="I14" s="176"/>
      <c r="J14" s="276"/>
      <c r="K14" s="276"/>
      <c r="L14" s="276"/>
      <c r="M14" s="276"/>
      <c r="N14" s="275"/>
      <c r="O14" s="285"/>
      <c r="P14" s="285"/>
      <c r="Q14" s="285"/>
      <c r="R14" s="285"/>
      <c r="S14" s="158"/>
      <c r="T14" s="158"/>
      <c r="U14" s="158"/>
    </row>
    <row r="15" spans="1:21">
      <c r="A15" s="176"/>
      <c r="B15" s="166"/>
      <c r="C15" s="176"/>
      <c r="D15" s="166"/>
      <c r="E15" s="176"/>
      <c r="F15" s="276"/>
      <c r="G15" s="176"/>
      <c r="H15" s="276"/>
      <c r="I15" s="176"/>
      <c r="J15" s="276"/>
      <c r="K15" s="276"/>
      <c r="L15" s="276"/>
      <c r="M15" s="276"/>
      <c r="N15" s="275"/>
      <c r="O15" s="285"/>
      <c r="P15" s="285"/>
      <c r="Q15" s="285"/>
      <c r="R15" s="285"/>
      <c r="S15" s="158"/>
      <c r="T15" s="158"/>
      <c r="U15" s="158"/>
    </row>
    <row r="16" spans="1:21">
      <c r="A16" s="176"/>
      <c r="B16" s="176"/>
      <c r="C16" s="176"/>
      <c r="D16" s="176"/>
      <c r="E16" s="176"/>
      <c r="F16" s="176"/>
      <c r="G16" s="176"/>
      <c r="H16" s="176"/>
      <c r="I16" s="176"/>
      <c r="J16" s="276"/>
      <c r="K16" s="276"/>
      <c r="L16" s="276"/>
      <c r="M16" s="276"/>
      <c r="N16" s="276"/>
      <c r="O16" s="278"/>
      <c r="P16" s="278"/>
      <c r="Q16" s="278"/>
      <c r="R16" s="278"/>
      <c r="S16" s="158"/>
      <c r="T16" s="158"/>
      <c r="U16" s="158"/>
    </row>
    <row r="17" spans="1:21">
      <c r="A17" s="176"/>
      <c r="B17" s="176"/>
      <c r="C17" s="176"/>
      <c r="D17" s="176"/>
      <c r="E17" s="176"/>
      <c r="F17" s="176"/>
      <c r="G17" s="176"/>
      <c r="H17" s="176"/>
      <c r="I17" s="176"/>
      <c r="J17" s="301" t="s">
        <v>524</v>
      </c>
      <c r="K17" s="276"/>
      <c r="L17" s="276"/>
      <c r="M17" s="276"/>
      <c r="N17" s="276"/>
      <c r="O17" s="278"/>
      <c r="P17" s="278"/>
      <c r="Q17" s="278"/>
      <c r="R17" s="278">
        <f>SUM(R11:R13)</f>
        <v>-19.91858534363773</v>
      </c>
      <c r="S17" s="158"/>
      <c r="T17" s="158"/>
      <c r="U17" s="158"/>
    </row>
    <row r="18" spans="1:21">
      <c r="A18" s="176"/>
      <c r="B18" s="176"/>
      <c r="C18" s="176"/>
      <c r="D18" s="176"/>
      <c r="E18" s="176"/>
      <c r="F18" s="176"/>
      <c r="G18" s="176"/>
      <c r="H18" s="176"/>
      <c r="I18" s="176"/>
      <c r="J18" s="276"/>
      <c r="K18" s="276"/>
      <c r="L18" s="276"/>
      <c r="M18" s="276"/>
      <c r="N18" s="276"/>
      <c r="O18" s="278"/>
      <c r="P18" s="278"/>
      <c r="Q18" s="278"/>
      <c r="R18" s="278"/>
      <c r="S18" s="158"/>
      <c r="T18" s="158"/>
      <c r="U18" s="158"/>
    </row>
    <row r="19" spans="1:21">
      <c r="A19" s="176"/>
      <c r="B19" s="176"/>
      <c r="C19" s="176"/>
      <c r="D19" s="176"/>
      <c r="E19" s="176"/>
      <c r="F19" s="176"/>
      <c r="G19" s="176"/>
      <c r="H19" s="176"/>
      <c r="I19" s="176"/>
      <c r="J19" s="276"/>
      <c r="K19" s="276"/>
      <c r="L19" s="276"/>
      <c r="M19" s="276"/>
      <c r="N19" s="276"/>
      <c r="O19" s="278"/>
      <c r="P19" s="278"/>
      <c r="Q19" s="278"/>
      <c r="R19" s="293">
        <f>'Exh. LK-11 (Pages 1-3)'!R19</f>
        <v>0.95042000000000004</v>
      </c>
      <c r="S19" s="158"/>
      <c r="T19" s="158"/>
      <c r="U19" s="158"/>
    </row>
    <row r="20" spans="1:21">
      <c r="A20" s="176"/>
      <c r="B20" s="176"/>
      <c r="C20" s="176"/>
      <c r="D20" s="176"/>
      <c r="E20" s="176"/>
      <c r="F20" s="176"/>
      <c r="G20" s="176"/>
      <c r="H20" s="176"/>
      <c r="I20" s="176"/>
      <c r="J20" s="276" t="s">
        <v>567</v>
      </c>
      <c r="K20" s="276"/>
      <c r="L20" s="276"/>
      <c r="M20" s="276"/>
      <c r="N20" s="276"/>
      <c r="O20" s="278"/>
      <c r="P20" s="278"/>
      <c r="Q20" s="278"/>
      <c r="R20" s="278"/>
      <c r="S20" s="158"/>
      <c r="T20" s="158"/>
      <c r="U20" s="158"/>
    </row>
    <row r="21" spans="1:21" ht="13.5" thickBot="1">
      <c r="A21" s="176"/>
      <c r="B21" s="176"/>
      <c r="C21" s="176"/>
      <c r="D21" s="176"/>
      <c r="E21" s="176"/>
      <c r="F21" s="176"/>
      <c r="G21" s="176"/>
      <c r="H21" s="176"/>
      <c r="I21" s="176"/>
      <c r="J21" s="276"/>
      <c r="K21" s="276"/>
      <c r="L21" s="276"/>
      <c r="M21" s="276"/>
      <c r="N21" s="276"/>
      <c r="O21" s="278"/>
      <c r="P21" s="278"/>
      <c r="Q21" s="278"/>
      <c r="R21" s="294">
        <f>R17*R19</f>
        <v>-18.931021882300172</v>
      </c>
      <c r="S21" s="158"/>
      <c r="T21" s="158"/>
      <c r="U21" s="158"/>
    </row>
    <row r="22" spans="1:21" ht="13.5" thickTop="1">
      <c r="A22" s="176"/>
      <c r="B22" s="176"/>
      <c r="C22" s="176"/>
      <c r="D22" s="176"/>
      <c r="E22" s="176"/>
      <c r="F22" s="176"/>
      <c r="G22" s="176"/>
      <c r="H22" s="176"/>
      <c r="I22" s="176"/>
      <c r="J22" s="276"/>
      <c r="K22" s="276"/>
      <c r="L22" s="276"/>
      <c r="M22" s="276"/>
      <c r="N22" s="276"/>
      <c r="O22" s="278"/>
      <c r="P22" s="278"/>
      <c r="Q22" s="278"/>
      <c r="R22" s="278"/>
      <c r="S22" s="158"/>
      <c r="T22" s="158"/>
      <c r="U22" s="158"/>
    </row>
    <row r="23" spans="1:21">
      <c r="A23" s="29"/>
      <c r="B23" s="42"/>
      <c r="C23" s="42"/>
      <c r="D23" s="45"/>
      <c r="E23" s="45"/>
      <c r="F23" s="45"/>
      <c r="G23" s="45"/>
      <c r="H23" s="45"/>
      <c r="I23" s="45"/>
      <c r="J23" s="45"/>
      <c r="K23" s="42"/>
      <c r="L23" s="42"/>
      <c r="M23" s="42"/>
      <c r="N23" s="177"/>
      <c r="P23" s="29"/>
    </row>
    <row r="24" spans="1:21">
      <c r="A24" s="29"/>
      <c r="B24" s="42"/>
      <c r="C24" s="42"/>
      <c r="D24" s="45"/>
      <c r="E24" s="45"/>
      <c r="F24" s="45"/>
      <c r="G24" s="45"/>
      <c r="H24" s="45"/>
      <c r="I24" s="45"/>
      <c r="J24" s="11">
        <v>2017</v>
      </c>
      <c r="L24" s="10"/>
      <c r="N24" s="193">
        <v>2018</v>
      </c>
      <c r="P24" s="29"/>
    </row>
    <row r="25" spans="1:21">
      <c r="A25" s="29"/>
      <c r="B25" s="167" t="s">
        <v>424</v>
      </c>
      <c r="C25" s="42"/>
      <c r="D25" s="45"/>
      <c r="E25" s="45"/>
      <c r="F25" s="45"/>
      <c r="G25" s="45"/>
      <c r="H25" s="45"/>
      <c r="I25" s="45"/>
      <c r="J25" s="88">
        <f>-R21</f>
        <v>18.931021882300172</v>
      </c>
      <c r="L25" s="10"/>
      <c r="N25" s="45">
        <f>-R21</f>
        <v>18.931021882300172</v>
      </c>
      <c r="P25" s="29"/>
    </row>
    <row r="26" spans="1:21">
      <c r="A26" s="29"/>
      <c r="B26" s="167" t="s">
        <v>468</v>
      </c>
      <c r="C26" s="42"/>
      <c r="D26" s="45"/>
      <c r="E26" s="45"/>
      <c r="F26" s="45"/>
      <c r="G26" s="45"/>
      <c r="H26" s="45"/>
      <c r="I26" s="45"/>
      <c r="J26" s="196">
        <f>-J25*0.38575</f>
        <v>-7.3026416910972909</v>
      </c>
      <c r="L26" s="10"/>
      <c r="N26" s="198">
        <f>-N25*0.38575</f>
        <v>-7.3026416910972909</v>
      </c>
      <c r="P26" s="29"/>
    </row>
    <row r="27" spans="1:21">
      <c r="A27" s="29"/>
      <c r="B27" s="167" t="s">
        <v>426</v>
      </c>
      <c r="C27" s="42"/>
      <c r="D27" s="45"/>
      <c r="E27" s="45"/>
      <c r="F27" s="45"/>
      <c r="G27" s="45"/>
      <c r="H27" s="45"/>
      <c r="I27" s="45"/>
      <c r="J27" s="88">
        <f>SUM(J25:J26)</f>
        <v>11.628380191202881</v>
      </c>
      <c r="L27" s="10"/>
      <c r="N27" s="45">
        <f>SUM(N25:N26)</f>
        <v>11.628380191202881</v>
      </c>
      <c r="P27" s="29"/>
    </row>
    <row r="28" spans="1:21">
      <c r="A28" s="29"/>
      <c r="B28" s="167"/>
      <c r="C28" s="42"/>
      <c r="D28" s="45"/>
      <c r="E28" s="45"/>
      <c r="F28" s="45"/>
      <c r="G28" s="45"/>
      <c r="H28" s="45"/>
      <c r="I28" s="45"/>
      <c r="J28" s="88"/>
      <c r="L28" s="10"/>
      <c r="N28" s="45"/>
      <c r="P28" s="29"/>
    </row>
    <row r="29" spans="1:21">
      <c r="A29" s="29"/>
      <c r="B29" s="167" t="s">
        <v>425</v>
      </c>
      <c r="C29" s="42"/>
      <c r="D29" s="45"/>
      <c r="E29" s="45"/>
      <c r="F29" s="45"/>
      <c r="G29" s="45"/>
      <c r="H29" s="45"/>
      <c r="I29" s="45"/>
      <c r="J29" s="88">
        <f>J27/2</f>
        <v>5.8141900956014405</v>
      </c>
      <c r="L29" s="10"/>
      <c r="N29" s="45">
        <f>J27+(N27/2)</f>
        <v>17.442570286804322</v>
      </c>
      <c r="P29" s="29"/>
    </row>
    <row r="30" spans="1:21">
      <c r="A30" s="29"/>
      <c r="B30" s="167" t="s">
        <v>422</v>
      </c>
      <c r="C30" s="42"/>
      <c r="D30" s="45"/>
      <c r="E30" s="45"/>
      <c r="F30" s="45"/>
      <c r="G30" s="45"/>
      <c r="H30" s="45"/>
      <c r="I30" s="45"/>
      <c r="J30" s="295">
        <f>'Exh. LK-28'!J19</f>
        <v>9.8804316192411479E-2</v>
      </c>
      <c r="L30" s="10"/>
      <c r="N30" s="260">
        <f>'Exh. LK-29'!J19</f>
        <v>9.9784915778226832E-2</v>
      </c>
      <c r="P30" s="29"/>
    </row>
    <row r="31" spans="1:21" ht="13.5" thickBot="1">
      <c r="A31" s="29"/>
      <c r="B31" s="167" t="s">
        <v>423</v>
      </c>
      <c r="C31" s="42"/>
      <c r="D31" s="45"/>
      <c r="E31" s="45"/>
      <c r="F31" s="45"/>
      <c r="G31" s="45"/>
      <c r="H31" s="45"/>
      <c r="I31" s="45"/>
      <c r="J31" s="296">
        <f>J29*J30</f>
        <v>0.57446707660859186</v>
      </c>
      <c r="L31" s="10"/>
      <c r="N31" s="261">
        <f>N29*N30</f>
        <v>1.7405054070245711</v>
      </c>
      <c r="P31" s="29"/>
    </row>
    <row r="32" spans="1:21" ht="13.5" thickTop="1">
      <c r="A32" s="29"/>
      <c r="B32" s="42"/>
      <c r="C32" s="42"/>
      <c r="D32" s="45"/>
      <c r="E32" s="45"/>
      <c r="F32" s="45"/>
      <c r="G32" s="45"/>
      <c r="H32" s="45"/>
      <c r="I32" s="45"/>
      <c r="J32" s="88"/>
      <c r="L32" s="10"/>
      <c r="P32" s="29"/>
    </row>
    <row r="33" spans="1:16" ht="13.5" thickBot="1">
      <c r="A33" s="29"/>
      <c r="B33" s="170" t="s">
        <v>427</v>
      </c>
      <c r="C33" s="42"/>
      <c r="D33" s="45"/>
      <c r="E33" s="45"/>
      <c r="F33" s="45"/>
      <c r="G33" s="45"/>
      <c r="H33" s="45"/>
      <c r="I33" s="45"/>
      <c r="J33" s="197">
        <f>R21+J31</f>
        <v>-18.35655480569158</v>
      </c>
      <c r="L33" s="10"/>
      <c r="N33" s="209">
        <f>R21+N31</f>
        <v>-17.190516475275601</v>
      </c>
      <c r="P33" s="29"/>
    </row>
    <row r="34" spans="1:16" ht="13.5" thickTop="1">
      <c r="A34" s="29"/>
      <c r="B34" s="42"/>
      <c r="C34" s="42"/>
      <c r="D34" s="45"/>
      <c r="E34" s="45"/>
      <c r="F34" s="45"/>
      <c r="G34" s="45"/>
      <c r="H34" s="45"/>
      <c r="I34" s="45"/>
      <c r="J34" s="45"/>
      <c r="K34" s="42"/>
      <c r="L34" s="42"/>
      <c r="M34" s="42"/>
      <c r="N34" s="42"/>
      <c r="P34" s="29"/>
    </row>
    <row r="35" spans="1:16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6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</sheetData>
  <mergeCells count="5">
    <mergeCell ref="A1:R1"/>
    <mergeCell ref="A2:R2"/>
    <mergeCell ref="A3:R3"/>
    <mergeCell ref="A4:R4"/>
    <mergeCell ref="A5:R5"/>
  </mergeCells>
  <pageMargins left="0.39" right="0.25" top="1" bottom="1" header="0.5" footer="0.5"/>
  <pageSetup orientation="landscape" r:id="rId1"/>
  <headerFooter alignWithMargins="0">
    <oddHeader>&amp;R&amp;8Docket No. 160021-EI, &amp;"Arial,Italic"et al&amp;"Arial,Regular".
FPL POD No. 5
Attachment A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Layout" zoomScaleNormal="100" workbookViewId="0">
      <selection activeCell="G9" sqref="G9"/>
    </sheetView>
  </sheetViews>
  <sheetFormatPr defaultRowHeight="12.75"/>
  <cols>
    <col min="1" max="1" width="8.85546875" customWidth="1"/>
    <col min="2" max="5" width="11.7109375" customWidth="1"/>
    <col min="6" max="6" width="5" customWidth="1"/>
    <col min="7" max="7" width="3.140625" customWidth="1"/>
    <col min="8" max="8" width="12.28515625" customWidth="1"/>
    <col min="9" max="9" width="3.140625" customWidth="1"/>
    <col min="10" max="10" width="12.28515625" customWidth="1"/>
  </cols>
  <sheetData>
    <row r="1" spans="1:10">
      <c r="A1" s="374" t="s">
        <v>33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>
      <c r="A2" s="375" t="s">
        <v>448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>
      <c r="A3" s="375" t="s">
        <v>65</v>
      </c>
      <c r="B3" s="375"/>
      <c r="C3" s="375"/>
      <c r="D3" s="375"/>
      <c r="E3" s="375"/>
      <c r="F3" s="375"/>
      <c r="G3" s="375"/>
      <c r="H3" s="375"/>
      <c r="I3" s="375"/>
      <c r="J3" s="375"/>
    </row>
    <row r="4" spans="1:10">
      <c r="A4" s="375" t="s">
        <v>66</v>
      </c>
      <c r="B4" s="374"/>
      <c r="C4" s="374"/>
      <c r="D4" s="374"/>
      <c r="E4" s="374"/>
      <c r="F4" s="374"/>
      <c r="G4" s="374"/>
      <c r="H4" s="374"/>
      <c r="I4" s="374"/>
      <c r="J4" s="374"/>
    </row>
    <row r="5" spans="1:10">
      <c r="A5" s="374" t="s">
        <v>19</v>
      </c>
      <c r="B5" s="374"/>
      <c r="C5" s="374"/>
      <c r="D5" s="374"/>
      <c r="E5" s="374"/>
      <c r="F5" s="374"/>
      <c r="G5" s="374"/>
      <c r="H5" s="374"/>
      <c r="I5" s="374"/>
      <c r="J5" s="374"/>
    </row>
    <row r="6" spans="1:10">
      <c r="A6" s="163"/>
      <c r="B6" s="163"/>
      <c r="C6" s="163"/>
      <c r="D6" s="163"/>
      <c r="E6" s="163"/>
      <c r="F6" s="163"/>
      <c r="G6" s="163"/>
      <c r="H6" s="163"/>
      <c r="I6" s="163"/>
      <c r="J6" s="163"/>
    </row>
    <row r="7" spans="1:10">
      <c r="A7" s="166" t="s">
        <v>449</v>
      </c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38"/>
      <c r="B8" s="39"/>
      <c r="C8" s="39"/>
      <c r="D8" s="39"/>
      <c r="E8" s="39"/>
      <c r="F8" s="39"/>
      <c r="G8" s="39"/>
      <c r="H8" s="60">
        <v>2017</v>
      </c>
      <c r="I8" s="39"/>
      <c r="J8" s="60">
        <v>2018</v>
      </c>
    </row>
    <row r="9" spans="1:10">
      <c r="A9" s="38"/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166" t="s">
        <v>450</v>
      </c>
      <c r="B10" s="57"/>
      <c r="C10" s="57"/>
      <c r="D10" s="57"/>
      <c r="E10" s="57"/>
      <c r="F10" s="57"/>
      <c r="G10" s="40"/>
      <c r="H10" s="266">
        <v>27.597045999999999</v>
      </c>
      <c r="I10" s="40"/>
      <c r="J10" s="266">
        <v>27.597045999999999</v>
      </c>
    </row>
    <row r="11" spans="1:10">
      <c r="A11" s="166"/>
      <c r="B11" s="57"/>
      <c r="C11" s="57"/>
      <c r="D11" s="57"/>
      <c r="E11" s="57"/>
      <c r="F11" s="57"/>
      <c r="G11" s="40"/>
      <c r="H11" s="266"/>
      <c r="I11" s="40"/>
      <c r="J11" s="266"/>
    </row>
    <row r="12" spans="1:10">
      <c r="A12" s="166" t="s">
        <v>455</v>
      </c>
      <c r="B12" s="57"/>
      <c r="C12" s="57"/>
      <c r="D12" s="57"/>
      <c r="E12" s="57"/>
      <c r="F12" s="57"/>
      <c r="G12" s="40"/>
      <c r="H12" s="269">
        <v>0.2</v>
      </c>
      <c r="I12" s="40"/>
      <c r="J12" s="269">
        <v>0.2</v>
      </c>
    </row>
    <row r="13" spans="1:10">
      <c r="A13" s="12"/>
      <c r="B13" s="41"/>
      <c r="C13" s="41"/>
      <c r="D13" s="41"/>
      <c r="E13" s="41"/>
      <c r="F13" s="41"/>
      <c r="G13" s="41"/>
      <c r="H13" s="59"/>
      <c r="I13" s="41"/>
      <c r="J13" s="59"/>
    </row>
    <row r="14" spans="1:10" ht="13.5" thickBot="1">
      <c r="A14" s="166" t="s">
        <v>451</v>
      </c>
      <c r="B14" s="41"/>
      <c r="C14" s="41"/>
      <c r="D14" s="41"/>
      <c r="E14" s="41"/>
      <c r="F14" s="41"/>
      <c r="G14" s="41"/>
      <c r="H14" s="80">
        <f>H10/(1+H12)</f>
        <v>22.997538333333335</v>
      </c>
      <c r="I14" s="41"/>
      <c r="J14" s="80">
        <f>J10/(1+J12)</f>
        <v>22.997538333333335</v>
      </c>
    </row>
    <row r="15" spans="1:10" ht="13.5" thickTop="1">
      <c r="A15" s="38"/>
      <c r="B15" s="41"/>
      <c r="C15" s="41"/>
      <c r="D15" s="41"/>
      <c r="E15" s="41"/>
      <c r="F15" s="41"/>
      <c r="G15" s="41"/>
      <c r="H15" s="59"/>
      <c r="I15" s="41"/>
      <c r="J15" s="59"/>
    </row>
    <row r="16" spans="1:10">
      <c r="A16" s="152" t="s">
        <v>452</v>
      </c>
      <c r="B16" s="41"/>
      <c r="C16" s="41"/>
      <c r="D16" s="41"/>
      <c r="E16" s="41"/>
      <c r="F16" s="41"/>
      <c r="G16" s="41"/>
      <c r="H16" s="50">
        <f>H14-H10</f>
        <v>-4.5995076666666641</v>
      </c>
      <c r="I16" s="41"/>
      <c r="J16" s="50">
        <f>J14-J10</f>
        <v>-4.5995076666666641</v>
      </c>
    </row>
    <row r="17" spans="1:15">
      <c r="A17" s="29"/>
      <c r="B17" s="42"/>
      <c r="C17" s="42"/>
      <c r="D17" s="42"/>
      <c r="E17" s="42"/>
      <c r="F17" s="42"/>
      <c r="G17" s="42"/>
      <c r="H17" s="42"/>
      <c r="I17" s="42"/>
      <c r="J17" s="42"/>
    </row>
    <row r="18" spans="1:15">
      <c r="A18" s="38"/>
      <c r="B18" s="41"/>
      <c r="C18" s="41"/>
      <c r="D18" s="41"/>
      <c r="E18" s="41"/>
      <c r="F18" s="41"/>
      <c r="G18" s="41"/>
      <c r="H18" s="59"/>
      <c r="I18" s="41"/>
      <c r="J18" s="59"/>
    </row>
    <row r="19" spans="1:15">
      <c r="A19" s="152" t="s">
        <v>438</v>
      </c>
      <c r="B19" s="41"/>
      <c r="C19" s="41"/>
      <c r="D19" s="41"/>
      <c r="E19" s="41"/>
      <c r="F19" s="41"/>
      <c r="G19" s="41"/>
      <c r="H19" s="268">
        <v>0.95059499999999997</v>
      </c>
      <c r="I19" s="41"/>
      <c r="J19" s="268">
        <v>0.95128400000000002</v>
      </c>
    </row>
    <row r="20" spans="1:15">
      <c r="A20" s="29"/>
      <c r="B20" s="42"/>
      <c r="C20" s="42"/>
      <c r="D20" s="42"/>
      <c r="E20" s="42"/>
      <c r="F20" s="42"/>
      <c r="G20" s="42"/>
      <c r="H20" s="42"/>
      <c r="I20" s="42"/>
      <c r="J20" s="42"/>
    </row>
    <row r="21" spans="1:15" ht="13.5" thickBot="1">
      <c r="A21" s="152" t="s">
        <v>453</v>
      </c>
      <c r="B21" s="42"/>
      <c r="C21" s="42"/>
      <c r="D21" s="42"/>
      <c r="E21" s="42"/>
      <c r="F21" s="42"/>
      <c r="G21" s="42"/>
      <c r="H21" s="263">
        <f>H16*H19</f>
        <v>-4.3722689903949972</v>
      </c>
      <c r="I21" s="42"/>
      <c r="J21" s="263">
        <f>J16*J19</f>
        <v>-4.3754380511773308</v>
      </c>
    </row>
    <row r="22" spans="1:15" ht="13.5" thickTop="1">
      <c r="A22" s="29"/>
      <c r="B22" s="42"/>
      <c r="C22" s="42"/>
      <c r="D22" s="42"/>
      <c r="E22" s="42"/>
      <c r="F22" s="42"/>
      <c r="G22" s="42"/>
      <c r="H22" s="42"/>
      <c r="I22" s="42"/>
      <c r="J22" s="42"/>
    </row>
    <row r="23" spans="1:15">
      <c r="B23" s="26"/>
      <c r="C23" s="26"/>
      <c r="D23" s="26"/>
      <c r="E23" s="26"/>
      <c r="F23" s="26"/>
      <c r="G23" s="26"/>
      <c r="H23" s="26"/>
      <c r="I23" s="26"/>
      <c r="J23" s="26"/>
    </row>
    <row r="24" spans="1:15">
      <c r="B24" s="26"/>
      <c r="C24" s="26"/>
      <c r="D24" s="26"/>
      <c r="E24" s="26"/>
      <c r="F24" s="26"/>
      <c r="G24" s="26"/>
      <c r="H24" s="26"/>
      <c r="I24" s="26"/>
      <c r="J24" s="26"/>
    </row>
    <row r="25" spans="1:15">
      <c r="A25" s="166" t="s">
        <v>379</v>
      </c>
      <c r="B25" s="39"/>
      <c r="C25" s="39"/>
      <c r="D25" s="39"/>
      <c r="E25" s="39"/>
      <c r="F25" s="39"/>
      <c r="G25" s="39"/>
      <c r="H25" s="264">
        <f>-H21/2</f>
        <v>2.1861344951974986</v>
      </c>
      <c r="I25" s="39"/>
      <c r="J25" s="229">
        <f>-H21+-(J21/2)</f>
        <v>6.559988015983663</v>
      </c>
      <c r="K25" s="39"/>
      <c r="L25" s="93"/>
      <c r="M25" s="40"/>
      <c r="N25" s="93"/>
      <c r="O25" s="26"/>
    </row>
    <row r="26" spans="1:15">
      <c r="A26" s="29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6"/>
    </row>
    <row r="27" spans="1:15">
      <c r="A27" s="41" t="s">
        <v>55</v>
      </c>
      <c r="B27" s="41"/>
      <c r="C27" s="41"/>
      <c r="D27" s="41"/>
      <c r="E27" s="41"/>
      <c r="F27" s="41"/>
      <c r="G27" s="41"/>
      <c r="H27" s="51">
        <f>'Exh. LK-28'!J19</f>
        <v>9.8804316192411479E-2</v>
      </c>
      <c r="I27" s="41"/>
      <c r="J27" s="51">
        <f>'Exh. LK-29'!J19</f>
        <v>9.9784915778226832E-2</v>
      </c>
      <c r="K27" s="41"/>
      <c r="L27" s="48"/>
      <c r="M27" s="41"/>
      <c r="N27" s="48"/>
      <c r="O27" s="26"/>
    </row>
    <row r="28" spans="1: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26"/>
    </row>
    <row r="29" spans="1:15" ht="13.5" thickBot="1">
      <c r="A29" s="167" t="s">
        <v>377</v>
      </c>
      <c r="B29" s="167"/>
      <c r="C29" s="167"/>
      <c r="D29" s="167"/>
      <c r="E29" s="167"/>
      <c r="F29" s="167"/>
      <c r="G29" s="167"/>
      <c r="H29" s="265">
        <f>H25*H27</f>
        <v>0.2159995239026315</v>
      </c>
      <c r="I29" s="236"/>
      <c r="J29" s="265">
        <f>J25*J27</f>
        <v>0.65458785168110711</v>
      </c>
      <c r="K29" s="167"/>
      <c r="L29" s="44"/>
      <c r="M29" s="41"/>
      <c r="N29" s="44"/>
      <c r="O29" s="26"/>
    </row>
    <row r="30" spans="1:15" ht="13.5" thickTop="1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44"/>
      <c r="M30" s="41"/>
      <c r="N30" s="44"/>
      <c r="O30" s="26"/>
    </row>
    <row r="31" spans="1:15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44"/>
      <c r="M31" s="41"/>
      <c r="N31" s="44"/>
    </row>
    <row r="32" spans="1:15">
      <c r="A32" s="158" t="s">
        <v>59</v>
      </c>
      <c r="E32">
        <f>'ADIT Changes - Cap Struct'!C24</f>
        <v>0.38574999999999998</v>
      </c>
      <c r="H32" s="196">
        <f>H29*-E32</f>
        <v>-8.33218163454401E-2</v>
      </c>
      <c r="J32" s="196">
        <f>J29*-E32</f>
        <v>-0.25250726378598704</v>
      </c>
    </row>
    <row r="34" spans="1:11" ht="13.5" thickBot="1">
      <c r="A34" s="158" t="s">
        <v>447</v>
      </c>
      <c r="H34" s="209">
        <f>H21+H29+H32</f>
        <v>-4.2395912828378055</v>
      </c>
      <c r="I34" s="204"/>
      <c r="J34" s="209">
        <f>J21+J29+J32</f>
        <v>-3.9733574632822104</v>
      </c>
      <c r="K34" s="204"/>
    </row>
    <row r="35" spans="1:11" ht="13.5" thickTop="1">
      <c r="H35" s="204"/>
      <c r="I35" s="204"/>
      <c r="J35" s="204"/>
      <c r="K35" s="204"/>
    </row>
  </sheetData>
  <mergeCells count="5">
    <mergeCell ref="A1:J1"/>
    <mergeCell ref="A2:J2"/>
    <mergeCell ref="A3:J3"/>
    <mergeCell ref="A4:J4"/>
    <mergeCell ref="A5:J5"/>
  </mergeCells>
  <pageMargins left="0.39" right="0.25" top="1" bottom="1" header="0.5" footer="0.5"/>
  <pageSetup orientation="portrait" r:id="rId1"/>
  <headerFooter alignWithMargins="0">
    <oddHeader>&amp;R&amp;8Docket No. 160021-EI, &amp;"Arial,Italic"et al&amp;"Arial,Regular".
FPL POD No. 5
Attachment A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31</vt:i4>
      </vt:variant>
    </vt:vector>
  </HeadingPairs>
  <TitlesOfParts>
    <vt:vector size="59" baseType="lpstr">
      <vt:lpstr>Exh. LK-6</vt:lpstr>
      <vt:lpstr>Exh. LK-8</vt:lpstr>
      <vt:lpstr>Exh. LK-11 (Pages 1-3)</vt:lpstr>
      <vt:lpstr>Exh. LK-11 (Pages 4-6)</vt:lpstr>
      <vt:lpstr>Exh. LK-12</vt:lpstr>
      <vt:lpstr>Exh. LK-14</vt:lpstr>
      <vt:lpstr>Exh. LK-15</vt:lpstr>
      <vt:lpstr>Exh. LK-16</vt:lpstr>
      <vt:lpstr>Exh. LK-17</vt:lpstr>
      <vt:lpstr>Exh. LK-21</vt:lpstr>
      <vt:lpstr>Exh. LK-23</vt:lpstr>
      <vt:lpstr>Exh. LK-27 - Page 1</vt:lpstr>
      <vt:lpstr>Exh. LK-27 - Page 2</vt:lpstr>
      <vt:lpstr>Exh. LK-28</vt:lpstr>
      <vt:lpstr>Exh. LK-29</vt:lpstr>
      <vt:lpstr>Exh. LK-30</vt:lpstr>
      <vt:lpstr>Exh. LK-33</vt:lpstr>
      <vt:lpstr>Exh. LK-34</vt:lpstr>
      <vt:lpstr>Exh. LK-35</vt:lpstr>
      <vt:lpstr>Revenue Requirement-12.31.2017</vt:lpstr>
      <vt:lpstr>Revenue Requirement-12.31.2018</vt:lpstr>
      <vt:lpstr>Rev Req-Okeechobee Increase</vt:lpstr>
      <vt:lpstr>As Filed MFR Sch. D-4 (2017)</vt:lpstr>
      <vt:lpstr>As Adjusted MFR Sch. D-4 (2017)</vt:lpstr>
      <vt:lpstr>As Filed MFR Sch. D-4 (2018)</vt:lpstr>
      <vt:lpstr>As Adjusted MFR Sch. D-4 (2018)</vt:lpstr>
      <vt:lpstr>ADIT Changes - Cap Struct</vt:lpstr>
      <vt:lpstr>NFIP in Rate Base</vt:lpstr>
      <vt:lpstr>'Exh. LK-11 (Pages 1-3)'!Print_Area</vt:lpstr>
      <vt:lpstr>'Exh. LK-11 (Pages 4-6)'!Print_Area</vt:lpstr>
      <vt:lpstr>'Exh. LK-12'!Print_Area</vt:lpstr>
      <vt:lpstr>'Exh. LK-14'!Print_Area</vt:lpstr>
      <vt:lpstr>'Exh. LK-15'!Print_Area</vt:lpstr>
      <vt:lpstr>'Exh. LK-16'!Print_Area</vt:lpstr>
      <vt:lpstr>'Exh. LK-21'!Print_Area</vt:lpstr>
      <vt:lpstr>'Exh. LK-27 - Page 1'!Print_Area</vt:lpstr>
      <vt:lpstr>'Exh. LK-28'!Print_Area</vt:lpstr>
      <vt:lpstr>'Exh. LK-29'!Print_Area</vt:lpstr>
      <vt:lpstr>'Exh. LK-30'!Print_Area</vt:lpstr>
      <vt:lpstr>'Exh. LK-33'!Print_Area</vt:lpstr>
      <vt:lpstr>'Exh. LK-34'!Print_Area</vt:lpstr>
      <vt:lpstr>'Exh. LK-35'!Print_Area</vt:lpstr>
      <vt:lpstr>'Exh. LK-6'!Print_Area</vt:lpstr>
      <vt:lpstr>'Exh. LK-8'!Print_Area</vt:lpstr>
      <vt:lpstr>'As Adjusted MFR Sch. D-4 (2017)'!Print_Titles</vt:lpstr>
      <vt:lpstr>'As Adjusted MFR Sch. D-4 (2018)'!Print_Titles</vt:lpstr>
      <vt:lpstr>'As Filed MFR Sch. D-4 (2017)'!Print_Titles</vt:lpstr>
      <vt:lpstr>'As Filed MFR Sch. D-4 (2018)'!Print_Titles</vt:lpstr>
      <vt:lpstr>'Exh. LK-11 (Pages 1-3)'!Print_Titles</vt:lpstr>
      <vt:lpstr>'Exh. LK-11 (Pages 4-6)'!Print_Titles</vt:lpstr>
      <vt:lpstr>'Exh. LK-12'!Print_Titles</vt:lpstr>
      <vt:lpstr>'Exh. LK-14'!Print_Titles</vt:lpstr>
      <vt:lpstr>'Exh. LK-15'!Print_Titles</vt:lpstr>
      <vt:lpstr>'Exh. LK-16'!Print_Titles</vt:lpstr>
      <vt:lpstr>'Exh. LK-21'!Print_Titles</vt:lpstr>
      <vt:lpstr>'Exh. LK-28'!Print_Titles</vt:lpstr>
      <vt:lpstr>'Exh. LK-29'!Print_Titles</vt:lpstr>
      <vt:lpstr>'Exh. LK-30'!Print_Titles</vt:lpstr>
      <vt:lpstr>'Exh. LK-33'!Print_Titles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Siqveland, Kevin</cp:lastModifiedBy>
  <cp:revision>1</cp:revision>
  <dcterms:created xsi:type="dcterms:W3CDTF">2016-07-18T20:39:46Z</dcterms:created>
  <dcterms:modified xsi:type="dcterms:W3CDTF">2016-07-18T20:39:50Z</dcterms:modified>
  <cp:version>0</cp:version>
</cp:coreProperties>
</file>