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780" windowWidth="15096" windowHeight="5724" tabRatio="785"/>
  </bookViews>
  <sheets>
    <sheet name="Exec Summary" sheetId="5" r:id="rId1"/>
    <sheet name="Loss Expansion Factors - Energy" sheetId="1" r:id="rId2"/>
    <sheet name="Losses, Sales &amp; Co Use" sheetId="3" r:id="rId3"/>
    <sheet name="Data Summary" sheetId="4" r:id="rId4"/>
    <sheet name="Loss Expansion Factors - Demand" sheetId="2" r:id="rId5"/>
    <sheet name="Dist GNCP - for ECRC" sheetId="6" r:id="rId6"/>
    <sheet name="Energy Losses by Rate Class" sheetId="7" r:id="rId7"/>
    <sheet name="12CP Dem Losses by Rate Class" sheetId="8" r:id="rId8"/>
    <sheet name="GNCP Dem Losses by Rate Class" sheetId="10" r:id="rId9"/>
    <sheet name="Energy Losses by Rate GROUP" sheetId="11" r:id="rId10"/>
    <sheet name="12CP Dem Losses by Rate Group" sheetId="12" r:id="rId11"/>
  </sheets>
  <externalReferences>
    <externalReference r:id="rId12"/>
    <externalReference r:id="rId13"/>
  </externalReferences>
  <definedNames>
    <definedName name="_ATPRegress_Dlg_Results" hidden="1">{2;#N/A;"R13C16:R17C16";#N/A;"R13C14:R17C15";FALSE;FALSE;FALSE;95;#N/A;#N/A;"R13C19";#N/A;FALSE;FALSE;FALSE;FALSE;#N/A;"";#N/A;FALSE;"";"";#N/A;#N/A;#N/A}</definedName>
    <definedName name="_ATPRegress_Dlg_Types" hidden="1">{"EXCELHLP.HLP!1802";5;10;5;10;13;13;13;8;5;5;10;14;13;13;13;13;5;10;14;13;5;10;1;2;24}</definedName>
    <definedName name="_ATPRegress_Range1" localSheetId="0" hidden="1">'[1]ST Corrections'!#REF!</definedName>
    <definedName name="_ATPRegress_Range1" hidden="1">'[1]ST Corrections'!#REF!</definedName>
    <definedName name="_ATPRegress_Range2" localSheetId="0" hidden="1">'[1]ST Corrections'!#REF!</definedName>
    <definedName name="_ATPRegress_Range2" hidden="1">'[1]ST Corrections'!#REF!</definedName>
    <definedName name="_ATPRegress_Range3" localSheetId="0" hidden="1">'[1]ST Corrections'!#REF!</definedName>
    <definedName name="_ATPRegress_Range3" hidden="1">'[1]ST Corrections'!#REF!</definedName>
    <definedName name="_ATPRegress_Range4" hidden="1">"="</definedName>
    <definedName name="_ATPRegress_Range5" hidden="1">"="</definedName>
    <definedName name="_Fill" localSheetId="0" hidden="1">'[2]TXSCHD Download'!#REF!</definedName>
    <definedName name="_Fill" hidden="1">'[2]TXSCHD Download'!#REF!</definedName>
    <definedName name="e_CompanyTotal_4500">#REF!</definedName>
    <definedName name="e_Meters_5570">#REF!</definedName>
    <definedName name="e_MSNumber_5970">#REF!</definedName>
    <definedName name="e_RateClass_3871">#REF!</definedName>
    <definedName name="e_RateCode_5743">#REF!</definedName>
    <definedName name="ID_sorted">#REF!</definedName>
    <definedName name="l_LineLossAllocationofEnergyLossesUnaccountedForEtcStep4_5900">#REF!</definedName>
    <definedName name="l_LineLossAllocationofEnergyLossesUnaccountForEtcStep4_25189">#REF!</definedName>
    <definedName name="l_LineLossDemandLossExpansionFactorsStep3_17981">#REF!</definedName>
    <definedName name="l_LineLossDistributionGCPforECRCActualDemandLossExpansionFactors_19770">#REF!</definedName>
    <definedName name="l_LineLossDistributionGCPforECRCActualEnergyLossExpansionFactors_19372">#REF!</definedName>
    <definedName name="l_LineLossEnergyAnalysis_18987">#REF!</definedName>
    <definedName name="l_LineLossEnergyLossesbyRateClass_26818">#REF!</definedName>
    <definedName name="l_LineLossEnergyLossesbyRateClassTotals_27376">#REF!</definedName>
    <definedName name="l_LineLossEnergyLossExpansionFactorsStep2_17190">#REF!</definedName>
    <definedName name="l_LineLossInputsStep1_17170">#REF!</definedName>
    <definedName name="l_LineLossKWHAnalysisDeliveredSalesbyRateClassVoltageLevel_26770">#REF!</definedName>
    <definedName name="l_LineLossKWHAnalysisDeliveredtoBilledSalesFactor_26371">#REF!</definedName>
    <definedName name="l_LineLossLossFactorLeeCounty_18970">#REF!</definedName>
    <definedName name="l_LineLossSummaryLossExpansionFactorsPercentagesStep5_25191">#REF!</definedName>
    <definedName name="l_LineLossSummaryLossExpansionFactorsPercentageStep5_5951">#REF!</definedName>
    <definedName name="l_MeterCostsAdjustedCILCMeterCostsSummaryStep7_16910">#REF!</definedName>
    <definedName name="l_MeterCostsInputsMaterialCostsbyMSNumberStep3_9994">#REF!</definedName>
    <definedName name="l_MeterCostsMeterCostsbyRateCodeandMeterStep5_9970">#REF!</definedName>
    <definedName name="l_MeterCostsWtdAvgMeterCostsandAdjustedCILCbyRateClassStep6_11970">#REF!</definedName>
    <definedName name="l_RateRevenueImport_25770">#REF!</definedName>
    <definedName name="l_VoltageLevelbyRateClassStep2_7770">#REF!</definedName>
    <definedName name="l_VoltageLevelbyRateCodeStep1_6173">#REF!</definedName>
    <definedName name="Name" localSheetId="0">#REF!</definedName>
    <definedName name="Name">#REF!</definedName>
    <definedName name="pig_dig5" hidden="1">{#N/A,#N/A,FALSE,"T COST";#N/A,#N/A,FALSE,"COST_FH"}</definedName>
    <definedName name="pig_dog" hidden="1">{2;#N/A;"R13C16:R17C16";#N/A;"R13C14:R17C15";FALSE;FALSE;FALSE;95;#N/A;#N/A;"R13C19";#N/A;FALSE;FALSE;FALSE;FALSE;#N/A;"";#N/A;FALSE;"";"";#N/A;#N/A;#N/A}</definedName>
    <definedName name="pig_dog\" hidden="1">{"EXCELHLP.HLP!1802";5;10;5;10;13;13;13;8;5;5;10;14;13;13;13;13;5;10;14;13;5;10;1;2;24}</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hidden="1">{#N/A,#N/A,FALSE,"SUMMARY";#N/A,#N/A,FALSE,"INPUTDATA";#N/A,#N/A,FALSE,"Condenser Performance"}</definedName>
    <definedName name="pig_dog6" hidden="1">{#N/A,#N/A,FALSE,"INPUTDATA";#N/A,#N/A,FALSE,"SUMMARY";#N/A,#N/A,FALSE,"CTAREP";#N/A,#N/A,FALSE,"CTBREP";#N/A,#N/A,FALSE,"TURBEFF";#N/A,#N/A,FALSE,"Condenser Performance"}</definedName>
    <definedName name="pig_dog7" hidden="1">{#N/A,#N/A,FALSE,"INPUTDATA";#N/A,#N/A,FALSE,"SUMMARY"}</definedName>
    <definedName name="pig_dog8" hidden="1">{#N/A,#N/A,FALSE,"INPUTDATA";#N/A,#N/A,FALSE,"SUMMARY";#N/A,#N/A,FALSE,"CTAREP";#N/A,#N/A,FALSE,"CTBREP";#N/A,#N/A,FALSE,"PMG4ST86";#N/A,#N/A,FALSE,"TURBEFF";#N/A,#N/A,FALSE,"Condenser Performance"}</definedName>
    <definedName name="_xlnm.Print_Titles" localSheetId="7">'12CP Dem Losses by Rate Class'!$A:$A,'12CP Dem Losses by Rate Class'!$4:$4</definedName>
    <definedName name="_xlnm.Print_Titles" localSheetId="10">'12CP Dem Losses by Rate Group'!$A:$A,'12CP Dem Losses by Rate Group'!$4:$4</definedName>
    <definedName name="_xlnm.Print_Titles" localSheetId="3">'Data Summary'!$A:$B,'Data Summary'!$3:$3</definedName>
    <definedName name="_xlnm.Print_Titles" localSheetId="6">'Energy Losses by Rate Class'!$A:$A,'Energy Losses by Rate Class'!$4:$4</definedName>
    <definedName name="_xlnm.Print_Titles" localSheetId="9">'Energy Losses by Rate GROUP'!$A:$A,'Energy Losses by Rate GROUP'!$4:$4</definedName>
    <definedName name="_xlnm.Print_Titles" localSheetId="8">'GNCP Dem Losses by Rate Class'!$A:$A,'GNCP Dem Losses by Rate Class'!$4:$4</definedName>
    <definedName name="_xlnm.Print_Titles" localSheetId="4">'Loss Expansion Factors - Demand'!$A:$B,'Loss Expansion Factors - Demand'!$1:$3</definedName>
    <definedName name="_xlnm.Print_Titles" localSheetId="1">'Loss Expansion Factors - Energy'!$A:$B,'Loss Expansion Factors - Energy'!$3:$5</definedName>
    <definedName name="_xlnm.Print_Titles" localSheetId="2">'Losses, Sales &amp; Co Use'!$A:$B,'Losses, Sales &amp; Co Use'!$1:$3</definedName>
    <definedName name="test" hidden="1">{2;#N/A;"R13C16:R17C16";#N/A;"R13C14:R17C15";FALSE;FALSE;FALSE;95;#N/A;#N/A;"R13C19";#N/A;FALSE;FALSE;FALSE;FALSE;#N/A;"";#N/A;FALSE;"";"";#N/A;#N/A;#N/A}</definedName>
    <definedName name="UI_Entity_Groups">#REF!</definedName>
    <definedName name="UI_Reports">#REF!</definedName>
    <definedName name="UI_Scenarios">#REF!</definedName>
    <definedName name="wrn.AFUDC." hidden="1">{#N/A,#N/A,FALSE,"AFDC"}</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hidden="1">{#N/A,#N/A,FALSE,"SUMMARY";#N/A,#N/A,FALSE,"INPUTDATA";#N/A,#N/A,FALSE,"Condenser Performance"}</definedName>
    <definedName name="wrn.COST." hidden="1">{#N/A,#N/A,FALSE,"T COST";#N/A,#N/A,FALSE,"COST_FH"}</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FRT." hidden="1">{"EFRT Pg 1",#N/A,FALSE,"EFRT (2)";"EFRT Pg 2",#N/A,FALSE,"EFRT (2)"}</definedName>
    <definedName name="wrn.Engr._.Summary." hidden="1">{#N/A,#N/A,FALSE,"INPUTDATA";#N/A,#N/A,FALSE,"SUMMARY";#N/A,#N/A,FALSE,"CTAREP";#N/A,#N/A,FALSE,"CTBREP";#N/A,#N/A,FALSE,"TURBEFF";#N/A,#N/A,FALSE,"Condenser Performance"}</definedName>
    <definedName name="wrn.Exec._.Summary." hidden="1">{#N/A,#N/A,FALSE,"INPUTDATA";#N/A,#N/A,FALSE,"SUMMARY"}</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LITIGATION." hidden="1">{"LI AFUDC DEBT 10282",#N/A,FALSE,"TXFORCST.XLS";"LIT AFUDC 10280",#N/A,FALSE,"TXFORCST.XLS";"LIT DEPR EXP 10281",#N/A,FALSE,"TXFORCST.XLS"}</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ut._.of._.Period." hidden="1">{"Out of Period",#N/A,FALSE,"Out of Period"}</definedName>
    <definedName name="wrn.Reconcil._.Bk._.Depr._.to._.47G." hidden="1">{"By Account",#N/A,FALSE,"Reconcil Deprec Book to Tax   ";"Correction of JV 47G",#N/A,FALSE,"Reconcil Deprec Book to Tax   ";"Recalculation of JV 47G",#N/A,FALSE,"Reconcil Deprec Book to Tax   "}</definedName>
    <definedName name="wrn.Statement._.of._.Income._.Taxes." hidden="1">{"Consolidated",#N/A,FALSE,"SITRP";"FPL Pure",#N/A,FALSE,"SITRP";"FPL Subsidiaries Consol",#N/A,FALSE,"SITRP"}</definedName>
    <definedName name="wrn.SUM._.OF._.UNIT._.3." hidden="1">{#N/A,#N/A,FALSE,"INPUTDATA";#N/A,#N/A,FALSE,"SUMMARY";#N/A,#N/A,FALSE,"CTAREP";#N/A,#N/A,FALSE,"CTBREP";#N/A,#N/A,FALSE,"PMG4ST86";#N/A,#N/A,FALSE,"TURBEFF";#N/A,#N/A,FALSE,"Condenser Performance"}</definedName>
    <definedName name="wrn.UTIL." hidden="1">{"Twelve Mo Ended Pg 2",#N/A,TRUE,"Utility";"YTD Adj _ Pg 1",#N/A,TRUE,"Utility"}</definedName>
    <definedName name="xxxxx" hidden="1">{2;#N/A;"R13C16:R17C16";#N/A;"R13C14:R17C15";FALSE;FALSE;FALSE;95;#N/A;#N/A;"R13C19";#N/A;FALSE;FALSE;FALSE;FALSE;#N/A;"";#N/A;FALSE;"";"";#N/A;#N/A;#N/A}</definedName>
  </definedNames>
  <calcPr calcId="145621"/>
</workbook>
</file>

<file path=xl/calcChain.xml><?xml version="1.0" encoding="utf-8"?>
<calcChain xmlns="http://schemas.openxmlformats.org/spreadsheetml/2006/main">
  <c r="B63" i="10" l="1"/>
  <c r="B59" i="10"/>
  <c r="B55" i="10"/>
  <c r="B51" i="10"/>
  <c r="B47" i="10"/>
  <c r="B43" i="10"/>
  <c r="B39" i="10"/>
  <c r="B36" i="10"/>
  <c r="B31" i="10"/>
  <c r="B26" i="10"/>
  <c r="B21" i="10"/>
  <c r="B17" i="10"/>
  <c r="B67" i="10" s="1"/>
  <c r="B13" i="10"/>
  <c r="B8" i="10"/>
  <c r="B112" i="8"/>
  <c r="B77" i="8"/>
  <c r="B73" i="8"/>
  <c r="B69" i="8"/>
  <c r="B65" i="8"/>
  <c r="B61" i="8"/>
  <c r="B57" i="8"/>
  <c r="B52" i="8"/>
  <c r="B13" i="12" s="1"/>
  <c r="B48" i="8"/>
  <c r="B44" i="8"/>
  <c r="B11" i="12" s="1"/>
  <c r="B40" i="8"/>
  <c r="B9" i="12" s="1"/>
  <c r="B35" i="8"/>
  <c r="B30" i="8"/>
  <c r="B25" i="8"/>
  <c r="B21" i="8"/>
  <c r="B17" i="8"/>
  <c r="B13" i="8"/>
  <c r="B8" i="8"/>
  <c r="B5" i="12" s="1"/>
  <c r="F111" i="7"/>
  <c r="B109" i="7"/>
  <c r="B107" i="7"/>
  <c r="B106" i="7"/>
  <c r="B105" i="7"/>
  <c r="B95" i="7"/>
  <c r="D24" i="7"/>
  <c r="F24" i="7" s="1"/>
  <c r="F25" i="7" s="1"/>
  <c r="D20" i="7"/>
  <c r="F20" i="7" s="1"/>
  <c r="F21" i="7" s="1"/>
  <c r="B76" i="7"/>
  <c r="B72" i="7"/>
  <c r="B68" i="7"/>
  <c r="B64" i="7"/>
  <c r="B60" i="7"/>
  <c r="B56" i="7"/>
  <c r="B52" i="7"/>
  <c r="B13" i="11" s="1"/>
  <c r="B48" i="7"/>
  <c r="B44" i="7"/>
  <c r="B11" i="11" s="1"/>
  <c r="B40" i="7"/>
  <c r="B9" i="11" s="1"/>
  <c r="B35" i="7"/>
  <c r="B30" i="7"/>
  <c r="B25" i="7"/>
  <c r="B21" i="7"/>
  <c r="B17" i="7"/>
  <c r="B13" i="7"/>
  <c r="B70" i="10" l="1"/>
  <c r="B74" i="10" s="1"/>
  <c r="B7" i="11"/>
  <c r="B7" i="12"/>
  <c r="B80" i="8"/>
  <c r="B115" i="8" s="1"/>
  <c r="B119" i="8" s="1"/>
  <c r="B15" i="11"/>
  <c r="B108" i="7"/>
  <c r="B15" i="12"/>
  <c r="D25" i="7"/>
  <c r="E25" i="7" s="1"/>
  <c r="E20" i="7"/>
  <c r="E24" i="7"/>
  <c r="C25" i="7"/>
  <c r="D21" i="7"/>
  <c r="C21" i="7" l="1"/>
  <c r="E21" i="7"/>
  <c r="B8" i="7" l="1"/>
  <c r="B5" i="11" s="1"/>
  <c r="B79" i="7" l="1"/>
  <c r="B98" i="7" l="1"/>
  <c r="D46" i="6"/>
  <c r="D47" i="6" s="1"/>
  <c r="E38" i="6" s="1"/>
  <c r="E36" i="6" s="1"/>
  <c r="C16" i="4"/>
  <c r="C37" i="4"/>
  <c r="C41" i="4"/>
  <c r="D42" i="4" s="1"/>
  <c r="D29" i="4"/>
  <c r="D31" i="4" s="1"/>
  <c r="E4" i="3" s="1"/>
  <c r="E26" i="3" s="1"/>
  <c r="E46" i="3" s="1"/>
  <c r="C17" i="4"/>
  <c r="C24" i="1"/>
  <c r="C14" i="1"/>
  <c r="D33" i="3"/>
  <c r="D40" i="3" s="1"/>
  <c r="C11" i="3"/>
  <c r="E11" i="3" s="1"/>
  <c r="E7" i="3"/>
  <c r="C24" i="3" l="1"/>
  <c r="C20" i="3" s="1"/>
  <c r="C22" i="3" s="1"/>
  <c r="B102" i="7"/>
  <c r="C12" i="1"/>
  <c r="E38" i="2" l="1"/>
  <c r="E36" i="2" s="1"/>
  <c r="C48" i="1" l="1"/>
  <c r="C44" i="1"/>
  <c r="C40" i="1"/>
  <c r="C36" i="1"/>
  <c r="C32" i="1"/>
  <c r="C28" i="1"/>
  <c r="C8" i="1"/>
  <c r="C22" i="1"/>
  <c r="C6" i="1"/>
  <c r="C16" i="1" l="1"/>
  <c r="C20" i="1" l="1"/>
  <c r="D8" i="1"/>
  <c r="C10" i="1"/>
  <c r="E8" i="1" s="1"/>
  <c r="D16" i="1" l="1"/>
  <c r="C18" i="1"/>
  <c r="C26" i="1" l="1"/>
  <c r="C30" i="1" s="1"/>
  <c r="E16" i="1"/>
  <c r="F20" i="1" s="1"/>
  <c r="C25" i="5"/>
  <c r="G25" i="5"/>
  <c r="K25" i="5"/>
  <c r="K12" i="5"/>
  <c r="G12" i="5"/>
  <c r="D25" i="5"/>
  <c r="H25" i="5"/>
  <c r="L25" i="5"/>
  <c r="L12" i="5"/>
  <c r="H12" i="5"/>
  <c r="L31" i="5"/>
  <c r="H31" i="5"/>
  <c r="D31" i="5"/>
  <c r="L29" i="5"/>
  <c r="H29" i="5"/>
  <c r="D29" i="5"/>
  <c r="L27" i="5"/>
  <c r="H27" i="5"/>
  <c r="D27" i="5"/>
  <c r="C109" i="7" l="1"/>
  <c r="D109" i="7" s="1"/>
  <c r="F109" i="7" s="1"/>
  <c r="C83" i="7"/>
  <c r="D83" i="7" s="1"/>
  <c r="C91" i="7"/>
  <c r="D91" i="7" s="1"/>
  <c r="C75" i="7"/>
  <c r="D75" i="7" s="1"/>
  <c r="C43" i="7"/>
  <c r="D43" i="7" s="1"/>
  <c r="C87" i="7"/>
  <c r="D87" i="7" s="1"/>
  <c r="C16" i="7"/>
  <c r="D16" i="7" s="1"/>
  <c r="D6" i="4"/>
  <c r="C14" i="5" s="1"/>
  <c r="E14" i="5" s="1"/>
  <c r="D28" i="1"/>
  <c r="E28" i="1"/>
  <c r="G20" i="1"/>
  <c r="F6" i="4" s="1"/>
  <c r="C34" i="1"/>
  <c r="D32" i="1"/>
  <c r="C27" i="5" l="1"/>
  <c r="E27" i="5" s="1"/>
  <c r="D88" i="7"/>
  <c r="F87" i="7"/>
  <c r="F88" i="7" s="1"/>
  <c r="E87" i="7"/>
  <c r="F75" i="7"/>
  <c r="F76" i="7" s="1"/>
  <c r="E75" i="7"/>
  <c r="D76" i="7"/>
  <c r="E16" i="7"/>
  <c r="D105" i="7"/>
  <c r="C105" i="7" s="1"/>
  <c r="D17" i="7"/>
  <c r="F16" i="7"/>
  <c r="E91" i="7"/>
  <c r="F91" i="7"/>
  <c r="F92" i="7" s="1"/>
  <c r="D92" i="7"/>
  <c r="E83" i="7"/>
  <c r="D84" i="7"/>
  <c r="F83" i="7"/>
  <c r="F84" i="7" s="1"/>
  <c r="F43" i="7"/>
  <c r="F44" i="7" s="1"/>
  <c r="E43" i="7"/>
  <c r="D44" i="7"/>
  <c r="E32" i="1"/>
  <c r="F36" i="1" s="1"/>
  <c r="C38" i="1"/>
  <c r="F95" i="7" l="1"/>
  <c r="C47" i="7"/>
  <c r="D47" i="7" s="1"/>
  <c r="C11" i="7"/>
  <c r="D11" i="7" s="1"/>
  <c r="C71" i="7"/>
  <c r="D71" i="7" s="1"/>
  <c r="C38" i="7"/>
  <c r="D38" i="7" s="1"/>
  <c r="C6" i="7"/>
  <c r="D6" i="7" s="1"/>
  <c r="C28" i="7"/>
  <c r="D28" i="7" s="1"/>
  <c r="C55" i="7"/>
  <c r="D55" i="7" s="1"/>
  <c r="C33" i="7"/>
  <c r="D33" i="7" s="1"/>
  <c r="D8" i="4"/>
  <c r="C16" i="5" s="1"/>
  <c r="D11" i="11"/>
  <c r="C44" i="7"/>
  <c r="E44" i="7"/>
  <c r="D95" i="7"/>
  <c r="C84" i="7"/>
  <c r="E84" i="7"/>
  <c r="F17" i="7"/>
  <c r="F105" i="7"/>
  <c r="E76" i="7"/>
  <c r="C76" i="7"/>
  <c r="C92" i="7"/>
  <c r="E92" i="7"/>
  <c r="E17" i="7"/>
  <c r="C17" i="7"/>
  <c r="C88" i="7"/>
  <c r="E88" i="7"/>
  <c r="C42" i="1"/>
  <c r="E40" i="1" s="1"/>
  <c r="D40" i="1"/>
  <c r="G36" i="1"/>
  <c r="F8" i="4" s="1"/>
  <c r="E38" i="7" l="1"/>
  <c r="F38" i="7"/>
  <c r="D56" i="7"/>
  <c r="F55" i="7"/>
  <c r="F56" i="7" s="1"/>
  <c r="E55" i="7"/>
  <c r="D72" i="7"/>
  <c r="F71" i="7"/>
  <c r="F72" i="7" s="1"/>
  <c r="E71" i="7"/>
  <c r="C11" i="11"/>
  <c r="F11" i="11"/>
  <c r="E11" i="11"/>
  <c r="E28" i="7"/>
  <c r="F28" i="7"/>
  <c r="F11" i="7"/>
  <c r="E11" i="7"/>
  <c r="F33" i="7"/>
  <c r="E33" i="7"/>
  <c r="C95" i="7"/>
  <c r="E95" i="7"/>
  <c r="E16" i="5"/>
  <c r="C29" i="5"/>
  <c r="E29" i="5" s="1"/>
  <c r="F6" i="7"/>
  <c r="E6" i="7"/>
  <c r="D106" i="7"/>
  <c r="C106" i="7" s="1"/>
  <c r="E47" i="7"/>
  <c r="D48" i="7"/>
  <c r="F47" i="7"/>
  <c r="F48" i="7" s="1"/>
  <c r="C46" i="1"/>
  <c r="D44" i="1"/>
  <c r="E56" i="7" l="1"/>
  <c r="C56" i="7"/>
  <c r="C48" i="7"/>
  <c r="E48" i="7"/>
  <c r="F106" i="7"/>
  <c r="E72" i="7"/>
  <c r="C72" i="7"/>
  <c r="E44" i="1"/>
  <c r="F50" i="1" s="1"/>
  <c r="C36" i="6"/>
  <c r="D34" i="6" s="1"/>
  <c r="E32" i="6" s="1"/>
  <c r="C52" i="1"/>
  <c r="C36" i="2"/>
  <c r="D34" i="2" l="1"/>
  <c r="E32" i="2" s="1"/>
  <c r="F34" i="6"/>
  <c r="E34" i="6"/>
  <c r="C32" i="6"/>
  <c r="D30" i="6" s="1"/>
  <c r="E28" i="6" s="1"/>
  <c r="G50" i="1"/>
  <c r="F10" i="4" s="1"/>
  <c r="C67" i="7"/>
  <c r="D67" i="7" s="1"/>
  <c r="C12" i="7"/>
  <c r="D12" i="7" s="1"/>
  <c r="C100" i="7"/>
  <c r="D100" i="7" s="1"/>
  <c r="C63" i="7"/>
  <c r="D63" i="7" s="1"/>
  <c r="C34" i="7"/>
  <c r="D34" i="7" s="1"/>
  <c r="C59" i="7"/>
  <c r="D59" i="7" s="1"/>
  <c r="C7" i="7"/>
  <c r="D7" i="7" s="1"/>
  <c r="C51" i="7"/>
  <c r="D51" i="7" s="1"/>
  <c r="C29" i="7"/>
  <c r="D29" i="7" s="1"/>
  <c r="C39" i="7"/>
  <c r="D39" i="7" s="1"/>
  <c r="D10" i="4"/>
  <c r="C18" i="5" s="1"/>
  <c r="E30" i="6" l="1"/>
  <c r="F30" i="6"/>
  <c r="E24" i="6"/>
  <c r="E100" i="7"/>
  <c r="F100" i="7"/>
  <c r="F113" i="7" s="1"/>
  <c r="E39" i="7"/>
  <c r="D40" i="7"/>
  <c r="D9" i="11" s="1"/>
  <c r="F39" i="7"/>
  <c r="F40" i="7" s="1"/>
  <c r="E12" i="7"/>
  <c r="D13" i="7"/>
  <c r="F12" i="7"/>
  <c r="F13" i="7" s="1"/>
  <c r="E18" i="5"/>
  <c r="C31" i="5"/>
  <c r="E31" i="5" s="1"/>
  <c r="E67" i="7"/>
  <c r="F67" i="7"/>
  <c r="F68" i="7" s="1"/>
  <c r="D68" i="7"/>
  <c r="D15" i="11" s="1"/>
  <c r="E34" i="7"/>
  <c r="D35" i="7"/>
  <c r="F34" i="7"/>
  <c r="F35" i="7" s="1"/>
  <c r="E29" i="7"/>
  <c r="D30" i="7"/>
  <c r="F29" i="7"/>
  <c r="F30" i="7" s="1"/>
  <c r="E51" i="7"/>
  <c r="F51" i="7"/>
  <c r="F52" i="7" s="1"/>
  <c r="D52" i="7"/>
  <c r="E7" i="7"/>
  <c r="F7" i="7"/>
  <c r="D8" i="7"/>
  <c r="D5" i="11" s="1"/>
  <c r="D107" i="7"/>
  <c r="F59" i="7"/>
  <c r="F60" i="7" s="1"/>
  <c r="D60" i="7"/>
  <c r="E59" i="7"/>
  <c r="D64" i="7"/>
  <c r="E63" i="7"/>
  <c r="F63" i="7"/>
  <c r="F64" i="7" s="1"/>
  <c r="D7" i="11" l="1"/>
  <c r="D13" i="11"/>
  <c r="F9" i="11"/>
  <c r="C9" i="11"/>
  <c r="E9" i="11"/>
  <c r="C15" i="11"/>
  <c r="F15" i="11"/>
  <c r="E15" i="11"/>
  <c r="E5" i="11"/>
  <c r="F5" i="11"/>
  <c r="C5" i="11"/>
  <c r="E7" i="11"/>
  <c r="F7" i="11"/>
  <c r="C7" i="11"/>
  <c r="C68" i="7"/>
  <c r="E68" i="7"/>
  <c r="E60" i="7"/>
  <c r="C60" i="7"/>
  <c r="C40" i="7"/>
  <c r="E40" i="7"/>
  <c r="D108" i="7"/>
  <c r="C107" i="7"/>
  <c r="E30" i="7"/>
  <c r="C30" i="7"/>
  <c r="F8" i="7"/>
  <c r="F79" i="7" s="1"/>
  <c r="F98" i="7" s="1"/>
  <c r="F102" i="7" s="1"/>
  <c r="F107" i="7"/>
  <c r="F108" i="7" s="1"/>
  <c r="F110" i="7" s="1"/>
  <c r="F112" i="7" s="1"/>
  <c r="F114" i="7" s="1"/>
  <c r="C35" i="7"/>
  <c r="E35" i="7"/>
  <c r="C13" i="7"/>
  <c r="E13" i="7"/>
  <c r="D79" i="7"/>
  <c r="E8" i="7"/>
  <c r="C8" i="7"/>
  <c r="C24" i="6"/>
  <c r="D22" i="6" s="1"/>
  <c r="E20" i="6" s="1"/>
  <c r="E22" i="6" s="1"/>
  <c r="C64" i="7"/>
  <c r="E64" i="7"/>
  <c r="C52" i="7"/>
  <c r="E52" i="7"/>
  <c r="F13" i="11" l="1"/>
  <c r="E13" i="11"/>
  <c r="C13" i="11"/>
  <c r="C20" i="6"/>
  <c r="D18" i="6" s="1"/>
  <c r="E16" i="6" s="1"/>
  <c r="E18" i="6" s="1"/>
  <c r="F22" i="6"/>
  <c r="D98" i="7"/>
  <c r="E79" i="7"/>
  <c r="C79" i="7"/>
  <c r="D102" i="7" l="1"/>
  <c r="E98" i="7"/>
  <c r="C98" i="7"/>
  <c r="F18" i="6"/>
  <c r="E12" i="6"/>
  <c r="C12" i="6" l="1"/>
  <c r="D10" i="6" s="1"/>
  <c r="E8" i="6" s="1"/>
  <c r="E10" i="6" s="1"/>
  <c r="G8" i="7"/>
  <c r="G25" i="7"/>
  <c r="G72" i="7"/>
  <c r="G92" i="7"/>
  <c r="G21" i="7"/>
  <c r="G40" i="7"/>
  <c r="G56" i="7"/>
  <c r="G17" i="7"/>
  <c r="G52" i="7"/>
  <c r="G35" i="7"/>
  <c r="G84" i="7"/>
  <c r="G64" i="7"/>
  <c r="G13" i="7"/>
  <c r="G88" i="7"/>
  <c r="G30" i="7"/>
  <c r="G44" i="7"/>
  <c r="G48" i="7"/>
  <c r="G60" i="7"/>
  <c r="G68" i="7"/>
  <c r="G76" i="7"/>
  <c r="E102" i="7"/>
  <c r="C102" i="7"/>
  <c r="G11" i="11" l="1"/>
  <c r="G15" i="11"/>
  <c r="G13" i="11"/>
  <c r="G7" i="11"/>
  <c r="G5" i="11"/>
  <c r="G98" i="7"/>
  <c r="G9" i="11"/>
  <c r="G95" i="7"/>
  <c r="G79" i="7"/>
  <c r="F10" i="6"/>
  <c r="C8" i="6"/>
  <c r="D6" i="6" s="1"/>
  <c r="E4" i="6" s="1"/>
  <c r="F6" i="6" s="1"/>
  <c r="G14" i="6" s="1"/>
  <c r="G26" i="6" l="1"/>
  <c r="K14" i="5"/>
  <c r="E6" i="6"/>
  <c r="C63" i="10" l="1"/>
  <c r="D63" i="10" s="1"/>
  <c r="C47" i="10"/>
  <c r="D47" i="10" s="1"/>
  <c r="C34" i="10"/>
  <c r="D34" i="10" s="1"/>
  <c r="C24" i="10"/>
  <c r="D24" i="10" s="1"/>
  <c r="C11" i="10"/>
  <c r="D11" i="10" s="1"/>
  <c r="C39" i="10"/>
  <c r="D39" i="10" s="1"/>
  <c r="C29" i="10"/>
  <c r="D29" i="10" s="1"/>
  <c r="C6" i="10"/>
  <c r="D6" i="10" s="1"/>
  <c r="K27" i="5"/>
  <c r="M27" i="5" s="1"/>
  <c r="M14" i="5"/>
  <c r="G40" i="6"/>
  <c r="K16" i="5"/>
  <c r="E6" i="10" l="1"/>
  <c r="F6" i="10"/>
  <c r="F24" i="10"/>
  <c r="E24" i="10"/>
  <c r="K18" i="5"/>
  <c r="K31" i="5" s="1"/>
  <c r="M31" i="5" s="1"/>
  <c r="C72" i="10"/>
  <c r="D72" i="10" s="1"/>
  <c r="C16" i="10"/>
  <c r="D16" i="10" s="1"/>
  <c r="C51" i="10"/>
  <c r="D51" i="10" s="1"/>
  <c r="C25" i="10"/>
  <c r="D25" i="10" s="1"/>
  <c r="D26" i="10" s="1"/>
  <c r="C59" i="10"/>
  <c r="D59" i="10" s="1"/>
  <c r="C43" i="10"/>
  <c r="D43" i="10" s="1"/>
  <c r="C30" i="10"/>
  <c r="D30" i="10" s="1"/>
  <c r="C20" i="10"/>
  <c r="D20" i="10" s="1"/>
  <c r="C7" i="10"/>
  <c r="D7" i="10" s="1"/>
  <c r="C55" i="10"/>
  <c r="D55" i="10" s="1"/>
  <c r="C35" i="10"/>
  <c r="D35" i="10" s="1"/>
  <c r="C12" i="10"/>
  <c r="D12" i="10" s="1"/>
  <c r="F29" i="10"/>
  <c r="E29" i="10"/>
  <c r="D31" i="10"/>
  <c r="F34" i="10"/>
  <c r="E34" i="10"/>
  <c r="D40" i="10"/>
  <c r="F39" i="10"/>
  <c r="F40" i="10" s="1"/>
  <c r="E39" i="10"/>
  <c r="D48" i="10"/>
  <c r="F47" i="10"/>
  <c r="F48" i="10" s="1"/>
  <c r="E47" i="10"/>
  <c r="F11" i="10"/>
  <c r="E11" i="10"/>
  <c r="D13" i="10"/>
  <c r="F63" i="10"/>
  <c r="F64" i="10" s="1"/>
  <c r="D64" i="10"/>
  <c r="E63" i="10"/>
  <c r="K29" i="5"/>
  <c r="M29" i="5" s="1"/>
  <c r="M16" i="5"/>
  <c r="M18" i="5" l="1"/>
  <c r="E64" i="10"/>
  <c r="C64" i="10"/>
  <c r="F7" i="10"/>
  <c r="F8" i="10" s="1"/>
  <c r="E7" i="10"/>
  <c r="F59" i="10"/>
  <c r="F60" i="10" s="1"/>
  <c r="E59" i="10"/>
  <c r="D60" i="10"/>
  <c r="F72" i="10"/>
  <c r="E72" i="10"/>
  <c r="E12" i="10"/>
  <c r="F12" i="10"/>
  <c r="F13" i="10" s="1"/>
  <c r="E20" i="10"/>
  <c r="F20" i="10"/>
  <c r="F21" i="10" s="1"/>
  <c r="D21" i="10"/>
  <c r="F25" i="10"/>
  <c r="F26" i="10" s="1"/>
  <c r="E25" i="10"/>
  <c r="C13" i="10"/>
  <c r="E13" i="10"/>
  <c r="E40" i="10"/>
  <c r="C40" i="10"/>
  <c r="C31" i="10"/>
  <c r="E31" i="10"/>
  <c r="F35" i="10"/>
  <c r="F36" i="10" s="1"/>
  <c r="E35" i="10"/>
  <c r="F30" i="10"/>
  <c r="F31" i="10" s="1"/>
  <c r="E30" i="10"/>
  <c r="D52" i="10"/>
  <c r="F51" i="10"/>
  <c r="F52" i="10" s="1"/>
  <c r="E51" i="10"/>
  <c r="C26" i="10"/>
  <c r="E26" i="10"/>
  <c r="D8" i="10"/>
  <c r="E48" i="10"/>
  <c r="C48" i="10"/>
  <c r="D36" i="10"/>
  <c r="F55" i="10"/>
  <c r="F56" i="10" s="1"/>
  <c r="D56" i="10"/>
  <c r="E55" i="10"/>
  <c r="D44" i="10"/>
  <c r="E43" i="10"/>
  <c r="F43" i="10"/>
  <c r="F44" i="10" s="1"/>
  <c r="F16" i="10"/>
  <c r="F17" i="10" s="1"/>
  <c r="D17" i="10"/>
  <c r="E16" i="10"/>
  <c r="F34" i="2"/>
  <c r="E34" i="2"/>
  <c r="C32" i="2"/>
  <c r="D30" i="2" s="1"/>
  <c r="E28" i="2" s="1"/>
  <c r="F67" i="10" l="1"/>
  <c r="F70" i="10" s="1"/>
  <c r="F74" i="10" s="1"/>
  <c r="C21" i="10"/>
  <c r="E21" i="10"/>
  <c r="C60" i="10"/>
  <c r="E60" i="10"/>
  <c r="C17" i="10"/>
  <c r="E17" i="10"/>
  <c r="E44" i="10"/>
  <c r="C44" i="10"/>
  <c r="C36" i="10"/>
  <c r="E36" i="10"/>
  <c r="E52" i="10"/>
  <c r="C52" i="10"/>
  <c r="D67" i="10"/>
  <c r="E8" i="10"/>
  <c r="C8" i="10"/>
  <c r="E56" i="10"/>
  <c r="C56" i="10"/>
  <c r="E24" i="2"/>
  <c r="F30" i="2"/>
  <c r="E30" i="2"/>
  <c r="D70" i="10" l="1"/>
  <c r="C67" i="10"/>
  <c r="E67" i="10"/>
  <c r="C24" i="2"/>
  <c r="D22" i="2" s="1"/>
  <c r="E20" i="2" s="1"/>
  <c r="C70" i="10" l="1"/>
  <c r="D74" i="10"/>
  <c r="E70" i="10"/>
  <c r="F22" i="2"/>
  <c r="C20" i="2"/>
  <c r="D18" i="2" s="1"/>
  <c r="E16" i="2" s="1"/>
  <c r="E22" i="2"/>
  <c r="G48" i="10" l="1"/>
  <c r="G36" i="10"/>
  <c r="G64" i="10"/>
  <c r="G56" i="10"/>
  <c r="G13" i="10"/>
  <c r="G21" i="10"/>
  <c r="G31" i="10"/>
  <c r="G17" i="10"/>
  <c r="G44" i="10"/>
  <c r="G40" i="10"/>
  <c r="G60" i="10"/>
  <c r="G8" i="10"/>
  <c r="G52" i="10"/>
  <c r="G26" i="10"/>
  <c r="E74" i="10"/>
  <c r="C74" i="10"/>
  <c r="F18" i="2"/>
  <c r="E12" i="2"/>
  <c r="E18" i="2"/>
  <c r="G67" i="10" l="1"/>
  <c r="G70" i="10"/>
  <c r="C12" i="2"/>
  <c r="D10" i="2" s="1"/>
  <c r="E8" i="2" s="1"/>
  <c r="F10" i="2" l="1"/>
  <c r="C8" i="2"/>
  <c r="D6" i="2" s="1"/>
  <c r="E4" i="2" s="1"/>
  <c r="E10" i="2"/>
  <c r="F6" i="2" l="1"/>
  <c r="G14" i="2" s="1"/>
  <c r="E6" i="2"/>
  <c r="C104" i="8" l="1"/>
  <c r="D104" i="8" s="1"/>
  <c r="C16" i="8"/>
  <c r="D16" i="8" s="1"/>
  <c r="C100" i="8"/>
  <c r="D100" i="8" s="1"/>
  <c r="C84" i="8"/>
  <c r="D84" i="8" s="1"/>
  <c r="C76" i="8"/>
  <c r="D76" i="8" s="1"/>
  <c r="C88" i="8"/>
  <c r="D88" i="8" s="1"/>
  <c r="C108" i="8"/>
  <c r="D108" i="8" s="1"/>
  <c r="C43" i="8"/>
  <c r="D43" i="8" s="1"/>
  <c r="C96" i="8"/>
  <c r="D96" i="8" s="1"/>
  <c r="C92" i="8"/>
  <c r="D92" i="8" s="1"/>
  <c r="G26" i="2"/>
  <c r="E6" i="4"/>
  <c r="G14" i="5" s="1"/>
  <c r="F100" i="8" l="1"/>
  <c r="F101" i="8" s="1"/>
  <c r="E100" i="8"/>
  <c r="D101" i="8"/>
  <c r="E43" i="8"/>
  <c r="D44" i="8"/>
  <c r="F43" i="8"/>
  <c r="F44" i="8" s="1"/>
  <c r="D89" i="8"/>
  <c r="E88" i="8"/>
  <c r="F88" i="8"/>
  <c r="F89" i="8" s="1"/>
  <c r="D77" i="8"/>
  <c r="E76" i="8"/>
  <c r="F76" i="8"/>
  <c r="F77" i="8" s="1"/>
  <c r="E84" i="8"/>
  <c r="F84" i="8"/>
  <c r="F85" i="8" s="1"/>
  <c r="D85" i="8"/>
  <c r="F16" i="8"/>
  <c r="F17" i="8" s="1"/>
  <c r="D17" i="8"/>
  <c r="E16" i="8"/>
  <c r="D109" i="8"/>
  <c r="E108" i="8"/>
  <c r="F108" i="8"/>
  <c r="F109" i="8" s="1"/>
  <c r="C38" i="8"/>
  <c r="D38" i="8" s="1"/>
  <c r="C28" i="8"/>
  <c r="D28" i="8" s="1"/>
  <c r="C47" i="8"/>
  <c r="D47" i="8" s="1"/>
  <c r="C72" i="8"/>
  <c r="D72" i="8" s="1"/>
  <c r="C11" i="8"/>
  <c r="D11" i="8" s="1"/>
  <c r="C55" i="8"/>
  <c r="D55" i="8" s="1"/>
  <c r="C6" i="8"/>
  <c r="D6" i="8" s="1"/>
  <c r="C33" i="8"/>
  <c r="D33" i="8" s="1"/>
  <c r="D93" i="8"/>
  <c r="E92" i="8"/>
  <c r="F92" i="8"/>
  <c r="F93" i="8" s="1"/>
  <c r="F96" i="8"/>
  <c r="F97" i="8" s="1"/>
  <c r="E96" i="8"/>
  <c r="D97" i="8"/>
  <c r="F104" i="8"/>
  <c r="F105" i="8" s="1"/>
  <c r="D105" i="8"/>
  <c r="E104" i="8"/>
  <c r="G27" i="5"/>
  <c r="I27" i="5" s="1"/>
  <c r="I14" i="5"/>
  <c r="G40" i="2"/>
  <c r="E8" i="4"/>
  <c r="G16" i="5" s="1"/>
  <c r="F112" i="8" l="1"/>
  <c r="E47" i="8"/>
  <c r="F47" i="8"/>
  <c r="F48" i="8" s="1"/>
  <c r="D48" i="8"/>
  <c r="E28" i="8"/>
  <c r="F28" i="8"/>
  <c r="F38" i="8"/>
  <c r="E38" i="8"/>
  <c r="E105" i="8"/>
  <c r="C105" i="8"/>
  <c r="D11" i="12"/>
  <c r="E44" i="8"/>
  <c r="C44" i="8"/>
  <c r="C97" i="8"/>
  <c r="E97" i="8"/>
  <c r="F55" i="8"/>
  <c r="E55" i="8"/>
  <c r="E109" i="8"/>
  <c r="C109" i="8"/>
  <c r="E101" i="8"/>
  <c r="C101" i="8"/>
  <c r="C85" i="8"/>
  <c r="E85" i="8"/>
  <c r="D112" i="8"/>
  <c r="E33" i="8"/>
  <c r="F33" i="8"/>
  <c r="F11" i="8"/>
  <c r="E11" i="8"/>
  <c r="E77" i="8"/>
  <c r="C77" i="8"/>
  <c r="E89" i="8"/>
  <c r="C89" i="8"/>
  <c r="C93" i="8"/>
  <c r="E93" i="8"/>
  <c r="E6" i="8"/>
  <c r="F6" i="8"/>
  <c r="E10" i="4"/>
  <c r="G18" i="5" s="1"/>
  <c r="G31" i="5" s="1"/>
  <c r="I31" i="5" s="1"/>
  <c r="C68" i="8"/>
  <c r="D68" i="8" s="1"/>
  <c r="C39" i="8"/>
  <c r="D39" i="8" s="1"/>
  <c r="D40" i="8" s="1"/>
  <c r="C64" i="8"/>
  <c r="D64" i="8" s="1"/>
  <c r="C12" i="8"/>
  <c r="D12" i="8" s="1"/>
  <c r="C51" i="8"/>
  <c r="D51" i="8" s="1"/>
  <c r="C117" i="8"/>
  <c r="D117" i="8" s="1"/>
  <c r="C24" i="8"/>
  <c r="D24" i="8" s="1"/>
  <c r="C29" i="8"/>
  <c r="D29" i="8" s="1"/>
  <c r="D30" i="8" s="1"/>
  <c r="C20" i="8"/>
  <c r="D20" i="8" s="1"/>
  <c r="C60" i="8"/>
  <c r="D60" i="8" s="1"/>
  <c r="C56" i="8"/>
  <c r="D56" i="8" s="1"/>
  <c r="C7" i="8"/>
  <c r="D7" i="8" s="1"/>
  <c r="D8" i="8" s="1"/>
  <c r="C34" i="8"/>
  <c r="D34" i="8" s="1"/>
  <c r="D73" i="8"/>
  <c r="E72" i="8"/>
  <c r="F72" i="8"/>
  <c r="F73" i="8" s="1"/>
  <c r="E17" i="8"/>
  <c r="C17" i="8"/>
  <c r="I16" i="5"/>
  <c r="G29" i="5"/>
  <c r="I29" i="5" s="1"/>
  <c r="I18" i="5" l="1"/>
  <c r="E40" i="8"/>
  <c r="C40" i="8"/>
  <c r="E8" i="8"/>
  <c r="C8" i="8"/>
  <c r="E56" i="8"/>
  <c r="F56" i="8"/>
  <c r="F57" i="8" s="1"/>
  <c r="F64" i="8"/>
  <c r="F65" i="8" s="1"/>
  <c r="E64" i="8"/>
  <c r="D65" i="8"/>
  <c r="C30" i="8"/>
  <c r="E30" i="8"/>
  <c r="F60" i="8"/>
  <c r="F61" i="8" s="1"/>
  <c r="E60" i="8"/>
  <c r="D61" i="8"/>
  <c r="E112" i="8"/>
  <c r="C112" i="8"/>
  <c r="D57" i="8"/>
  <c r="F34" i="8"/>
  <c r="F35" i="8" s="1"/>
  <c r="E34" i="8"/>
  <c r="E7" i="8"/>
  <c r="F7" i="8"/>
  <c r="F8" i="8" s="1"/>
  <c r="D35" i="8"/>
  <c r="F68" i="8"/>
  <c r="F69" i="8" s="1"/>
  <c r="D69" i="8"/>
  <c r="E68" i="8"/>
  <c r="C48" i="8"/>
  <c r="E48" i="8"/>
  <c r="D25" i="8"/>
  <c r="E24" i="8"/>
  <c r="F24" i="8"/>
  <c r="F25" i="8" s="1"/>
  <c r="E51" i="8"/>
  <c r="F51" i="8"/>
  <c r="F52" i="8" s="1"/>
  <c r="D52" i="8"/>
  <c r="F12" i="8"/>
  <c r="F13" i="8" s="1"/>
  <c r="E12" i="8"/>
  <c r="F39" i="8"/>
  <c r="F40" i="8" s="1"/>
  <c r="E39" i="8"/>
  <c r="F11" i="12"/>
  <c r="E11" i="12"/>
  <c r="C11" i="12"/>
  <c r="D21" i="8"/>
  <c r="E20" i="8"/>
  <c r="F20" i="8"/>
  <c r="F21" i="8" s="1"/>
  <c r="E29" i="8"/>
  <c r="F29" i="8"/>
  <c r="F30" i="8" s="1"/>
  <c r="E73" i="8"/>
  <c r="C73" i="8"/>
  <c r="E117" i="8"/>
  <c r="F117" i="8"/>
  <c r="D13" i="8"/>
  <c r="D15" i="12" l="1"/>
  <c r="E69" i="8"/>
  <c r="C69" i="8"/>
  <c r="D80" i="8"/>
  <c r="E35" i="8"/>
  <c r="C35" i="8"/>
  <c r="C61" i="8"/>
  <c r="E61" i="8"/>
  <c r="E65" i="8"/>
  <c r="C65" i="8"/>
  <c r="C13" i="8"/>
  <c r="E13" i="8"/>
  <c r="C25" i="8"/>
  <c r="E25" i="8"/>
  <c r="D13" i="12"/>
  <c r="E52" i="8"/>
  <c r="C52" i="8"/>
  <c r="F80" i="8"/>
  <c r="F115" i="8" s="1"/>
  <c r="F119" i="8" s="1"/>
  <c r="D5" i="12"/>
  <c r="E21" i="8"/>
  <c r="C21" i="8"/>
  <c r="E57" i="8"/>
  <c r="C57" i="8"/>
  <c r="D7" i="12"/>
  <c r="D9" i="12"/>
  <c r="F13" i="12" l="1"/>
  <c r="E13" i="12"/>
  <c r="C13" i="12"/>
  <c r="F5" i="12"/>
  <c r="E5" i="12"/>
  <c r="C5" i="12"/>
  <c r="E7" i="12"/>
  <c r="C7" i="12"/>
  <c r="F7" i="12"/>
  <c r="C80" i="8"/>
  <c r="D115" i="8"/>
  <c r="E80" i="8"/>
  <c r="F9" i="12"/>
  <c r="C9" i="12"/>
  <c r="E9" i="12"/>
  <c r="E15" i="12"/>
  <c r="C15" i="12"/>
  <c r="F15" i="12"/>
  <c r="D119" i="8" l="1"/>
  <c r="C115" i="8"/>
  <c r="E115" i="8"/>
  <c r="G48" i="8" l="1"/>
  <c r="G13" i="8"/>
  <c r="G77" i="8"/>
  <c r="G44" i="8"/>
  <c r="G8" i="8"/>
  <c r="G73" i="8"/>
  <c r="G40" i="8"/>
  <c r="G61" i="8"/>
  <c r="G25" i="8"/>
  <c r="G57" i="8"/>
  <c r="G21" i="8"/>
  <c r="G17" i="8"/>
  <c r="G69" i="8"/>
  <c r="G65" i="8"/>
  <c r="G52" i="8"/>
  <c r="G35" i="8"/>
  <c r="G30" i="8"/>
  <c r="C119" i="8"/>
  <c r="E119" i="8"/>
  <c r="G7" i="12" l="1"/>
  <c r="G9" i="12"/>
  <c r="G11" i="12"/>
  <c r="G15" i="12"/>
  <c r="G5" i="12"/>
  <c r="G13" i="12"/>
  <c r="G80" i="8"/>
  <c r="G115" i="8"/>
  <c r="G112" i="8"/>
</calcChain>
</file>

<file path=xl/sharedStrings.xml><?xml version="1.0" encoding="utf-8"?>
<sst xmlns="http://schemas.openxmlformats.org/spreadsheetml/2006/main" count="639" uniqueCount="288">
  <si>
    <t/>
  </si>
  <si>
    <t>1</t>
  </si>
  <si>
    <t>Net Energy to Transmission</t>
  </si>
  <si>
    <t>2</t>
  </si>
  <si>
    <t>3</t>
  </si>
  <si>
    <t>Generation Step-up Transformer Losses</t>
  </si>
  <si>
    <t>4</t>
  </si>
  <si>
    <t>5</t>
  </si>
  <si>
    <t>Flow to Transmission</t>
  </si>
  <si>
    <t>6</t>
  </si>
  <si>
    <t>7</t>
  </si>
  <si>
    <t>Transmission Line &amp; Substation Losses</t>
  </si>
  <si>
    <t>8</t>
  </si>
  <si>
    <t>9</t>
  </si>
  <si>
    <t>10</t>
  </si>
  <si>
    <t>11</t>
  </si>
  <si>
    <t>Adjusted Transmission Line &amp; Substation Losses</t>
  </si>
  <si>
    <t>12</t>
  </si>
  <si>
    <t>13</t>
  </si>
  <si>
    <t>Flow on Transmission</t>
  </si>
  <si>
    <t>14</t>
  </si>
  <si>
    <t>15</t>
  </si>
  <si>
    <t>Delivered Sales at Transmission</t>
  </si>
  <si>
    <t>16</t>
  </si>
  <si>
    <t>17</t>
  </si>
  <si>
    <t>Seminole &amp; Firm Power Wheeled for Others</t>
  </si>
  <si>
    <t>18</t>
  </si>
  <si>
    <t>19</t>
  </si>
  <si>
    <t>20</t>
  </si>
  <si>
    <t>21</t>
  </si>
  <si>
    <t>Flow to Distribution</t>
  </si>
  <si>
    <t>22</t>
  </si>
  <si>
    <t>23</t>
  </si>
  <si>
    <t>Distribution Substation Losses</t>
  </si>
  <si>
    <t>24</t>
  </si>
  <si>
    <t>25</t>
  </si>
  <si>
    <t>Flow to Primary Lines</t>
  </si>
  <si>
    <t>26</t>
  </si>
  <si>
    <t>27</t>
  </si>
  <si>
    <t>Primary Line Losses</t>
  </si>
  <si>
    <t>28</t>
  </si>
  <si>
    <t>29</t>
  </si>
  <si>
    <t>Flow on Primary</t>
  </si>
  <si>
    <t>30</t>
  </si>
  <si>
    <t>31</t>
  </si>
  <si>
    <t>Delivered Sales at Primary</t>
  </si>
  <si>
    <t>32</t>
  </si>
  <si>
    <t>33</t>
  </si>
  <si>
    <t>Flow to Secondary</t>
  </si>
  <si>
    <t>34</t>
  </si>
  <si>
    <t>35</t>
  </si>
  <si>
    <t>Transformer Losses</t>
  </si>
  <si>
    <t>36</t>
  </si>
  <si>
    <t>37</t>
  </si>
  <si>
    <t>Flow on Secondary</t>
  </si>
  <si>
    <t>38</t>
  </si>
  <si>
    <t>39</t>
  </si>
  <si>
    <t>Secondary Line &amp; Service Losses</t>
  </si>
  <si>
    <t>40</t>
  </si>
  <si>
    <t>41</t>
  </si>
  <si>
    <t>Balance For Use</t>
  </si>
  <si>
    <t>42</t>
  </si>
  <si>
    <t>43</t>
  </si>
  <si>
    <t>Company Use</t>
  </si>
  <si>
    <t>44</t>
  </si>
  <si>
    <t>45</t>
  </si>
  <si>
    <t>Delivered Sales at Secondary</t>
  </si>
  <si>
    <t>46</t>
  </si>
  <si>
    <t>47</t>
  </si>
  <si>
    <t>NET</t>
  </si>
  <si>
    <t>Net Demand to Transmission</t>
  </si>
  <si>
    <t>Other Distribution &amp; Unaccounted For:</t>
  </si>
  <si>
    <t>Subtotal - Distribution &amp; Unaccounted For</t>
  </si>
  <si>
    <t>Voltage Level</t>
  </si>
  <si>
    <t>Energy Expansion Factor</t>
  </si>
  <si>
    <t>Transmission</t>
  </si>
  <si>
    <t>Primary</t>
  </si>
  <si>
    <t>Secondary</t>
  </si>
  <si>
    <t>(GSD-1) KWH</t>
  </si>
  <si>
    <t>NEL</t>
  </si>
  <si>
    <t>PRIOR MONTH UNBILLED</t>
  </si>
  <si>
    <t>SUBTOTAL</t>
  </si>
  <si>
    <t>BILLED SALES</t>
  </si>
  <si>
    <t>COMPANY USE</t>
  </si>
  <si>
    <t>CURRENT MONTH UNBILLED</t>
  </si>
  <si>
    <t>ENERGY LOST OR UNACCOUNTED FOR</t>
  </si>
  <si>
    <t>% LOST OR UNACCOUNTED FOR</t>
  </si>
  <si>
    <t>TOTAL DELIVERED MWH</t>
  </si>
  <si>
    <t>TOTAL BILLED MWH</t>
  </si>
  <si>
    <t>TOTAL UNBILLED FACTOR</t>
  </si>
  <si>
    <t>Delivered Sales at Transmission - Expansion Factor</t>
  </si>
  <si>
    <t>Delivered Sales at Primary - Expansion Factor</t>
  </si>
  <si>
    <t>Delivered Sales at Secondary - Expansion Factor</t>
  </si>
  <si>
    <t>Florida Power &amp; Light Company</t>
  </si>
  <si>
    <t>Report 3 Lines:</t>
  </si>
  <si>
    <t>Demand - 12 CP Expansion Factor</t>
  </si>
  <si>
    <t>Demand - GNCP Expansion Factor</t>
  </si>
  <si>
    <t>Variance</t>
  </si>
  <si>
    <t>Energy Loss %</t>
  </si>
  <si>
    <t>Demand Loss %</t>
  </si>
  <si>
    <t>Demand - GNCP Loss %</t>
  </si>
  <si>
    <t>Variance - Year Ended December 2014 vs. Year Ended December 2013</t>
  </si>
  <si>
    <t>ENERGY</t>
  </si>
  <si>
    <t>DEMAND</t>
  </si>
  <si>
    <t>Total Company's transmission group coincident peak (GCP) MWs at meter</t>
  </si>
  <si>
    <t>Total Company's primary group coincident peak (GCP) MWs at meter</t>
  </si>
  <si>
    <t>Total Company's secondary group coincident peak (GCP) MWs at meter</t>
  </si>
  <si>
    <t>because the flows that create these losses are not in the flow to transmission.  However, because these are real losses they are included</t>
  </si>
  <si>
    <t xml:space="preserve"> in the flow to distribution.</t>
  </si>
  <si>
    <t xml:space="preserve">JEA/Southern loss payback and the non firm and short term wheeling losses are excluded from the transmission loss percentage calculation  </t>
  </si>
  <si>
    <r>
      <t>Remove JEA/Southern Loss Payback &amp; NF Wheeling Losses</t>
    </r>
    <r>
      <rPr>
        <vertAlign val="superscript"/>
        <sz val="10"/>
        <rFont val="Arial"/>
        <family val="2"/>
      </rPr>
      <t xml:space="preserve"> (a)</t>
    </r>
  </si>
  <si>
    <r>
      <t xml:space="preserve">Include JEA/Southern LP, NF &amp; STF Wheeling Losses </t>
    </r>
    <r>
      <rPr>
        <vertAlign val="superscript"/>
        <sz val="10"/>
        <rFont val="Arial"/>
        <family val="2"/>
      </rPr>
      <t>(a)</t>
    </r>
  </si>
  <si>
    <t>(a)</t>
  </si>
  <si>
    <t>(b)</t>
  </si>
  <si>
    <t>(c)</t>
  </si>
  <si>
    <r>
      <t xml:space="preserve">Delivered Demand at Transmission </t>
    </r>
    <r>
      <rPr>
        <vertAlign val="superscript"/>
        <sz val="10"/>
        <rFont val="Arial"/>
        <family val="2"/>
      </rPr>
      <t>(b)</t>
    </r>
  </si>
  <si>
    <r>
      <t xml:space="preserve">Delivered Demand at Primary </t>
    </r>
    <r>
      <rPr>
        <vertAlign val="superscript"/>
        <sz val="10"/>
        <rFont val="Arial"/>
        <family val="2"/>
      </rPr>
      <t>(c)</t>
    </r>
  </si>
  <si>
    <r>
      <t xml:space="preserve">Delivered Demand at Secondary </t>
    </r>
    <r>
      <rPr>
        <vertAlign val="superscript"/>
        <sz val="10"/>
        <rFont val="Arial"/>
        <family val="2"/>
      </rPr>
      <t>(d)</t>
    </r>
  </si>
  <si>
    <t>LINE NO.</t>
  </si>
  <si>
    <t>FLOW MWH</t>
  </si>
  <si>
    <t>LOSS %</t>
  </si>
  <si>
    <t>LOSS MULTIPLIER</t>
  </si>
  <si>
    <t>EXPANSION FACTOR</t>
  </si>
  <si>
    <t>CUMULATIVE LOSS %</t>
  </si>
  <si>
    <t>LOAD FACTORS</t>
  </si>
  <si>
    <t>FLOW MW</t>
  </si>
  <si>
    <t>LOSS FACTOR</t>
  </si>
  <si>
    <r>
      <t>ENERGY LOSS % DIVIDED BY          (.3 + (.7* LF))</t>
    </r>
    <r>
      <rPr>
        <b/>
        <vertAlign val="superscript"/>
        <sz val="10"/>
        <rFont val="Arial"/>
        <family val="2"/>
      </rPr>
      <t xml:space="preserve"> (a)</t>
    </r>
  </si>
  <si>
    <t>FLOW OF DEMAND</t>
  </si>
  <si>
    <t>FLOW OF ENERGY</t>
  </si>
  <si>
    <t>LOSSES (MWH)</t>
  </si>
  <si>
    <t>SALES (MWH)</t>
  </si>
  <si>
    <t>NET ENERGY (MWH)</t>
  </si>
  <si>
    <r>
      <t>Generation Step-Up Transformer Losses</t>
    </r>
    <r>
      <rPr>
        <vertAlign val="superscript"/>
        <sz val="10"/>
        <rFont val="Arial"/>
        <family val="2"/>
      </rPr>
      <t xml:space="preserve"> (a)</t>
    </r>
  </si>
  <si>
    <r>
      <t>Southern JEA / Transfers Loss Payback, NF and STF Wheeling Losses</t>
    </r>
    <r>
      <rPr>
        <vertAlign val="superscript"/>
        <sz val="10"/>
        <rFont val="Arial"/>
        <family val="2"/>
      </rPr>
      <t xml:space="preserve"> (a)</t>
    </r>
  </si>
  <si>
    <r>
      <t>Adjusted Transmission Line Losses</t>
    </r>
    <r>
      <rPr>
        <vertAlign val="superscript"/>
        <sz val="10"/>
        <rFont val="Arial"/>
        <family val="2"/>
      </rPr>
      <t xml:space="preserve"> (a)</t>
    </r>
  </si>
  <si>
    <r>
      <t xml:space="preserve">Transmission Line Losses </t>
    </r>
    <r>
      <rPr>
        <vertAlign val="superscript"/>
        <sz val="10"/>
        <color indexed="8"/>
        <rFont val="Arial"/>
        <family val="2"/>
      </rPr>
      <t>(a)</t>
    </r>
  </si>
  <si>
    <r>
      <t>Distribution Substation Transformer Losses</t>
    </r>
    <r>
      <rPr>
        <vertAlign val="superscript"/>
        <sz val="10"/>
        <rFont val="Arial"/>
        <family val="2"/>
      </rPr>
      <t xml:space="preserve"> (a)</t>
    </r>
  </si>
  <si>
    <r>
      <t>Primary Line Losses</t>
    </r>
    <r>
      <rPr>
        <vertAlign val="superscript"/>
        <sz val="10"/>
        <rFont val="Arial"/>
        <family val="2"/>
      </rPr>
      <t xml:space="preserve"> (b)</t>
    </r>
  </si>
  <si>
    <r>
      <t>Transformer Losses</t>
    </r>
    <r>
      <rPr>
        <vertAlign val="superscript"/>
        <sz val="10"/>
        <rFont val="Arial"/>
        <family val="2"/>
      </rPr>
      <t xml:space="preserve"> (b)</t>
    </r>
  </si>
  <si>
    <r>
      <t>Secondary &amp; Service Losses</t>
    </r>
    <r>
      <rPr>
        <vertAlign val="superscript"/>
        <sz val="10"/>
        <rFont val="Arial"/>
        <family val="2"/>
      </rPr>
      <t xml:space="preserve"> (c)</t>
    </r>
  </si>
  <si>
    <r>
      <t>NET ENERGY TO TRANSMISSION</t>
    </r>
    <r>
      <rPr>
        <vertAlign val="superscript"/>
        <sz val="10"/>
        <rFont val="Arial"/>
        <family val="2"/>
      </rPr>
      <t xml:space="preserve"> (a)</t>
    </r>
  </si>
  <si>
    <t>LOSSES &amp; UNACCOUNTED FOR:</t>
  </si>
  <si>
    <r>
      <t>TOTAL LOSSES &amp; UNACCOUNTED FOR</t>
    </r>
    <r>
      <rPr>
        <vertAlign val="superscript"/>
        <sz val="10"/>
        <rFont val="Arial"/>
        <family val="2"/>
      </rPr>
      <t xml:space="preserve"> (d)</t>
    </r>
  </si>
  <si>
    <t>SYSTEM ENERGY NET OF LOSSES &amp; UNACCOUNTED FOR</t>
  </si>
  <si>
    <t>Retail:</t>
  </si>
  <si>
    <t>Wholesale:</t>
  </si>
  <si>
    <t>TOTAL</t>
  </si>
  <si>
    <r>
      <t>Total Retail</t>
    </r>
    <r>
      <rPr>
        <vertAlign val="superscript"/>
        <sz val="10"/>
        <rFont val="Arial"/>
        <family val="2"/>
      </rPr>
      <t xml:space="preserve"> (f)</t>
    </r>
  </si>
  <si>
    <r>
      <t>Total Resale</t>
    </r>
    <r>
      <rPr>
        <vertAlign val="superscript"/>
        <sz val="10"/>
        <rFont val="Arial"/>
        <family val="2"/>
      </rPr>
      <t xml:space="preserve"> (f)</t>
    </r>
  </si>
  <si>
    <r>
      <t xml:space="preserve">TOTAL DELIVERED SALES </t>
    </r>
    <r>
      <rPr>
        <vertAlign val="superscript"/>
        <sz val="10"/>
        <rFont val="Arial"/>
        <family val="2"/>
      </rPr>
      <t>(f)</t>
    </r>
  </si>
  <si>
    <r>
      <t>COMPANY USE</t>
    </r>
    <r>
      <rPr>
        <vertAlign val="superscript"/>
        <sz val="10"/>
        <rFont val="Arial"/>
        <family val="2"/>
      </rPr>
      <t xml:space="preserve"> (g)</t>
    </r>
  </si>
  <si>
    <r>
      <t xml:space="preserve">LESS:  TOTAL FIRM POWER WHEELED FOR OTHERS </t>
    </r>
    <r>
      <rPr>
        <vertAlign val="superscript"/>
        <sz val="10"/>
        <rFont val="Arial"/>
        <family val="2"/>
      </rPr>
      <t>(a)</t>
    </r>
  </si>
  <si>
    <t>Westinghouse Formula</t>
  </si>
  <si>
    <t>Total Company average 12-month coincident peak MWs at meter for transmission level.</t>
  </si>
  <si>
    <t>Total Company average 12-month coincident peak MWs at meter for primary level.</t>
  </si>
  <si>
    <t>Total Company average 12-month coincident peak MWs at meter for secondary level.</t>
  </si>
  <si>
    <t>(d)</t>
  </si>
  <si>
    <t>(e)</t>
  </si>
  <si>
    <t>(f)</t>
  </si>
  <si>
    <t>(g)</t>
  </si>
  <si>
    <t>Power Supply</t>
  </si>
  <si>
    <t>Primary line and transformer losses are estimated using the methodology provided by Distribution Engineering.</t>
  </si>
  <si>
    <t>Ratio of billed sales (R&amp;R Report/Wholesale Log - by class) to delivered sales (F&amp;O Report - total company)</t>
  </si>
  <si>
    <t>Also see Financial and Operating Report, page 8-A.</t>
  </si>
  <si>
    <t>FERC Form 1, Page 401a</t>
  </si>
  <si>
    <t>ENERGY LOSSES, SALES, COMPANY USE AND WHEELING</t>
  </si>
  <si>
    <t>Secondary and service losses include electricity theft and unknown usage.</t>
  </si>
  <si>
    <t>COMPANY USE - DEMAND:</t>
  </si>
  <si>
    <t>(GSD-1) MWH</t>
  </si>
  <si>
    <t>COMPANY USE 12CP DEMAND (rounded) - MW</t>
  </si>
  <si>
    <r>
      <t xml:space="preserve">DELIVERED SALES </t>
    </r>
    <r>
      <rPr>
        <b/>
        <u/>
        <vertAlign val="superscript"/>
        <sz val="10"/>
        <rFont val="Arial"/>
        <family val="2"/>
      </rPr>
      <t>(e)</t>
    </r>
    <r>
      <rPr>
        <b/>
        <u/>
        <sz val="10"/>
        <rFont val="Arial"/>
        <family val="2"/>
      </rPr>
      <t>:</t>
    </r>
  </si>
  <si>
    <t>TOTAL FIRM POWER WHEELED FOR OTHERS</t>
  </si>
  <si>
    <t>Seminole Load Received</t>
  </si>
  <si>
    <t>St. Lucie Entitlement Received</t>
  </si>
  <si>
    <t>Power wheeled for others</t>
  </si>
  <si>
    <t>Southern JEA / Transfers Loss Payback</t>
  </si>
  <si>
    <t>Non-Firm Wheeling Losses</t>
  </si>
  <si>
    <t>Short Term Firm Wheeling Losses</t>
  </si>
  <si>
    <t>NET ENERGY FOR LOAD</t>
  </si>
  <si>
    <t>NET ENERGY TO TRANSMISSION LESS SOUTHERN JEA/LP</t>
  </si>
  <si>
    <t>OVERALL UNBILLED FACTOR:</t>
  </si>
  <si>
    <t>EXPANSION FACTORS</t>
  </si>
  <si>
    <t>LINE LOSS STUDY - 2014 ACTUALS</t>
  </si>
  <si>
    <t>Summary of Loss Expansion Factors and Loss Percentages</t>
  </si>
  <si>
    <r>
      <t>Delivered Demand at Primary</t>
    </r>
    <r>
      <rPr>
        <vertAlign val="superscript"/>
        <sz val="10"/>
        <rFont val="Arial"/>
        <family val="2"/>
      </rPr>
      <t xml:space="preserve"> (c)</t>
    </r>
  </si>
  <si>
    <t>(GSD-1) 12CP - MW</t>
  </si>
  <si>
    <t>CALCUATION OF NET ENERGY TO TRANSMISSION LESS SOUTHERN JEA/LP (MWH):</t>
  </si>
  <si>
    <t>USING UNBILLED SALES (MWH):</t>
  </si>
  <si>
    <t>Load Factor (line 11 / line10 / 8760)</t>
  </si>
  <si>
    <t>COMPANY USE GCP DEMAND (rounded) - MW</t>
  </si>
  <si>
    <t>(GSD-1) GNCP - KW</t>
  </si>
  <si>
    <t>COMPANY USE - GNCP DEMAND:</t>
  </si>
  <si>
    <t>FLOW OF DEMAND - DISTRIBUTION</t>
  </si>
  <si>
    <t>RATE CLASS</t>
  </si>
  <si>
    <t>DELIVERED MWH SALES</t>
  </si>
  <si>
    <t>DELIVERED ENERGY AT GENERATION</t>
  </si>
  <si>
    <t>DELIVERED EFFICIENCY</t>
  </si>
  <si>
    <t>LOSSES</t>
  </si>
  <si>
    <t>FUEL COST RECOVERY MULTIPLIER</t>
  </si>
  <si>
    <t>CILC-1D</t>
  </si>
  <si>
    <t>CILC-1D TOTAL</t>
  </si>
  <si>
    <t>CILC-1G</t>
  </si>
  <si>
    <t>CILC-1G TOTAL</t>
  </si>
  <si>
    <t>CILC-1T</t>
  </si>
  <si>
    <t>CILC-1T TOTAL</t>
  </si>
  <si>
    <t>GS(T)-1</t>
  </si>
  <si>
    <t>GS(T)-1 TOTAL</t>
  </si>
  <si>
    <t>GSCU-1</t>
  </si>
  <si>
    <t>GSCU-1 TOTAL</t>
  </si>
  <si>
    <t>GSD(T)-1</t>
  </si>
  <si>
    <t>GSD(T)-1 TOTAL</t>
  </si>
  <si>
    <t>GSLD(T)-1</t>
  </si>
  <si>
    <t>GSLD(T)-1 TOTAL</t>
  </si>
  <si>
    <t>GSLD(T)-2</t>
  </si>
  <si>
    <t>GSLD(T)-2 TOTAL</t>
  </si>
  <si>
    <t>GSLD(T)-3</t>
  </si>
  <si>
    <t>GSLD(T)-3 TOTAL</t>
  </si>
  <si>
    <t>MET</t>
  </si>
  <si>
    <t>MET TOTAL</t>
  </si>
  <si>
    <t>OL-1</t>
  </si>
  <si>
    <t>OL-1 TOTAL</t>
  </si>
  <si>
    <t>OS-2</t>
  </si>
  <si>
    <t>OS-2 TOTAL</t>
  </si>
  <si>
    <t>RS(T)-1</t>
  </si>
  <si>
    <t>RS(T)-1 TOTAL</t>
  </si>
  <si>
    <t>SL-1</t>
  </si>
  <si>
    <t>SL-1 TOTAL</t>
  </si>
  <si>
    <t>SL-2</t>
  </si>
  <si>
    <t>SL-2 TOTAL</t>
  </si>
  <si>
    <t>SST-DST</t>
  </si>
  <si>
    <t>SST-DST TOTAL</t>
  </si>
  <si>
    <t>SST-TST</t>
  </si>
  <si>
    <t>SST-TST TOTAL</t>
  </si>
  <si>
    <t>TOTAL FPSC</t>
  </si>
  <si>
    <t>PR - SEMINOLE</t>
  </si>
  <si>
    <t>PR - SEMINOLE TOTAL</t>
  </si>
  <si>
    <t>FULL REQUIREMENTS</t>
  </si>
  <si>
    <t>FR TOTAL</t>
  </si>
  <si>
    <t>PARTIAL REQUIREMENTS</t>
  </si>
  <si>
    <t>PR TOTAL</t>
  </si>
  <si>
    <t>TOTAL FERC</t>
  </si>
  <si>
    <t>TOTAL COMPANY</t>
  </si>
  <si>
    <t>TOTAL FPL</t>
  </si>
  <si>
    <t>COMPANY USE (Secondary)</t>
  </si>
  <si>
    <t>TOTAL LOSSES</t>
  </si>
  <si>
    <t>Wheeling</t>
  </si>
  <si>
    <t>JEA/SFP/NF Losses</t>
  </si>
  <si>
    <t>BLOUNTSTOWN</t>
  </si>
  <si>
    <t>FKEC</t>
  </si>
  <si>
    <t>SEMINOLE</t>
  </si>
  <si>
    <t>LCEC</t>
  </si>
  <si>
    <t>WAUCHULA</t>
  </si>
  <si>
    <t>WINTER PARK</t>
  </si>
  <si>
    <t>NEW SMRYNA BEACH</t>
  </si>
  <si>
    <t>12CP   DEMAND AT GENERATION</t>
  </si>
  <si>
    <t>BLOUNTSTOWN TOTAL</t>
  </si>
  <si>
    <t>FKEC TOTAL</t>
  </si>
  <si>
    <t>SEMINOLE TOTAL</t>
  </si>
  <si>
    <t>LCEC TOTAL</t>
  </si>
  <si>
    <t>WAUCHULA TOTAL</t>
  </si>
  <si>
    <t>WINTER PARK TOTAL</t>
  </si>
  <si>
    <t>NSB TOTAL</t>
  </si>
  <si>
    <t>12CP    DEMAND AT METER</t>
  </si>
  <si>
    <t>DISTRIBUTION GNCP DEMAND AT GENERATION</t>
  </si>
  <si>
    <t>CILC-1D / CILC-1G</t>
  </si>
  <si>
    <t>GSD-1 / CILC-1G</t>
  </si>
  <si>
    <t>GSLD-2 / OS-2 / MET</t>
  </si>
  <si>
    <t>GSLD-3 / CILC-1T</t>
  </si>
  <si>
    <t>OL-1 / SL-1</t>
  </si>
  <si>
    <t>SL-2 / GSCU-1</t>
  </si>
  <si>
    <t>RATE GROUP</t>
  </si>
  <si>
    <t>12CP    DEMAND AT GENERATION</t>
  </si>
  <si>
    <t>COST RECOVERY MULTIPLIER</t>
  </si>
  <si>
    <t>DISTRIBUTION GNCP DEMAND</t>
  </si>
  <si>
    <t>DELIVER ENERGY AT GENERATION</t>
  </si>
  <si>
    <t>OPC 012982</t>
  </si>
  <si>
    <t>FPL RC-16</t>
  </si>
  <si>
    <t>OPC 012983</t>
  </si>
  <si>
    <t>OPC 012984</t>
  </si>
  <si>
    <t>OPC 012985</t>
  </si>
  <si>
    <t>OPC 012986</t>
  </si>
  <si>
    <t>OPC 012987</t>
  </si>
  <si>
    <t>OPC 012988</t>
  </si>
  <si>
    <t>OPC 012989</t>
  </si>
  <si>
    <t>OPC 012990</t>
  </si>
  <si>
    <t>OPC 012991</t>
  </si>
  <si>
    <t>OPC 012992</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</si>
</sst>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0.000%_);[Red]\(#,##0.000%\);&quot; &quot;"/>
    <numFmt numFmtId="165" formatCode="#,##0.00000000_);\(#,##0.00000000\)"/>
    <numFmt numFmtId="166" formatCode="#,##0.00%_);[Red]\(#,##0.00%\);&quot; &quot;"/>
    <numFmt numFmtId="167" formatCode="#,##0.0000_);[Red]\(#,##0.0000\);&quot; &quot;"/>
    <numFmt numFmtId="168" formatCode="#,##0_);[Red]\(#,##0\);&quot; &quot;"/>
    <numFmt numFmtId="169" formatCode="#,##0.0000%_);[Red]\(#,##0.0000%\);&quot; &quot;"/>
    <numFmt numFmtId="170" formatCode="General_)"/>
    <numFmt numFmtId="171" formatCode="#,##0.00000_);[Red]\(#,##0.00000\)"/>
    <numFmt numFmtId="172" formatCode="0.000_)"/>
    <numFmt numFmtId="173" formatCode="0.00_)"/>
    <numFmt numFmtId="174" formatCode="0.000000000_)"/>
    <numFmt numFmtId="175" formatCode="0.00000000_)"/>
    <numFmt numFmtId="176" formatCode="0.00000"/>
    <numFmt numFmtId="177" formatCode="0.000000"/>
    <numFmt numFmtId="178" formatCode="0.00000000"/>
    <numFmt numFmtId="179" formatCode="#,##0.0000_);\(#,##0.0000\)"/>
    <numFmt numFmtId="180" formatCode="#,##0.00000_);\(#,##0.00000\)"/>
    <numFmt numFmtId="181" formatCode="#,##0.000000_);\(#,##0.000000\)"/>
    <numFmt numFmtId="182" formatCode="#,##0.000000000_);\(#,##0.000000000\)"/>
    <numFmt numFmtId="183" formatCode="#,##0.000000_);[Red]\(#,##0.000000\);&quot; &quot;"/>
    <numFmt numFmtId="184" formatCode="#,##0.00000_);[Red]\(#,##0.00000\);&quot; &quot;"/>
  </numFmts>
  <fonts count="48" x14ac:knownFonts="1">
    <font>
      <sz val="11"/>
      <color indexed="8"/>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color indexed="8"/>
      <name val="Arial"/>
      <family val="2"/>
    </font>
    <font>
      <b/>
      <sz val="10"/>
      <color indexed="8"/>
      <name val="Arial"/>
      <family val="2"/>
    </font>
    <font>
      <vertAlign val="superscript"/>
      <sz val="10"/>
      <name val="Arial"/>
      <family val="2"/>
    </font>
    <font>
      <b/>
      <u/>
      <sz val="10"/>
      <name val="Arial"/>
      <family val="2"/>
    </font>
    <font>
      <sz val="10"/>
      <name val="Courier"/>
      <family val="3"/>
    </font>
    <font>
      <b/>
      <sz val="8"/>
      <name val="Arial"/>
      <family val="2"/>
    </font>
    <font>
      <sz val="10"/>
      <name val="MS Sans Serif"/>
      <family val="2"/>
    </font>
    <font>
      <b/>
      <sz val="10"/>
      <color rgb="FFFF0000"/>
      <name val="Courier"/>
      <family val="3"/>
    </font>
    <font>
      <sz val="10"/>
      <color rgb="FFFF0000"/>
      <name val="Arial"/>
      <family val="2"/>
    </font>
    <font>
      <sz val="11"/>
      <name val="Tms Rmn"/>
      <family val="1"/>
    </font>
    <font>
      <b/>
      <i/>
      <sz val="16"/>
      <name val="Helv"/>
    </font>
    <font>
      <sz val="8"/>
      <name val="Arial"/>
      <family val="2"/>
    </font>
    <font>
      <sz val="9"/>
      <name val="Arial"/>
      <family val="2"/>
    </font>
    <font>
      <sz val="9"/>
      <color indexed="8"/>
      <name val="Arial"/>
      <family val="2"/>
    </font>
    <font>
      <b/>
      <vertAlign val="superscript"/>
      <sz val="10"/>
      <name val="Arial"/>
      <family val="2"/>
    </font>
    <font>
      <vertAlign val="superscript"/>
      <sz val="10"/>
      <color indexed="8"/>
      <name val="Arial"/>
      <family val="2"/>
    </font>
    <font>
      <b/>
      <u/>
      <sz val="10"/>
      <color indexed="8"/>
      <name val="Arial"/>
      <family val="2"/>
    </font>
    <font>
      <b/>
      <u/>
      <vertAlign val="superscript"/>
      <sz val="10"/>
      <name val="Arial"/>
      <family val="2"/>
    </font>
    <font>
      <b/>
      <sz val="11"/>
      <color indexed="8"/>
      <name val="Calibri"/>
      <family val="2"/>
      <scheme val="minor"/>
    </font>
    <font>
      <b/>
      <sz val="10"/>
      <name val="Courier"/>
      <family val="3"/>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30">
    <border>
      <left/>
      <right/>
      <top/>
      <bottom/>
      <diagonal/>
    </border>
    <border>
      <left/>
      <right/>
      <top/>
      <bottom style="medium">
        <color auto="1"/>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right/>
      <top/>
      <bottom style="medium">
        <color indexed="8"/>
      </bottom>
      <diagonal/>
    </border>
    <border>
      <left/>
      <right/>
      <top style="medium">
        <color indexed="8"/>
      </top>
      <bottom style="double">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hair">
        <color indexed="8"/>
      </top>
      <bottom style="hair">
        <color indexed="8"/>
      </bottom>
      <diagonal/>
    </border>
    <border>
      <left/>
      <right/>
      <top style="hair">
        <color indexed="8"/>
      </top>
      <bottom style="thin">
        <color indexed="64"/>
      </bottom>
      <diagonal/>
    </border>
    <border>
      <left/>
      <right/>
      <top/>
      <bottom style="double">
        <color indexed="64"/>
      </bottom>
      <diagonal/>
    </border>
    <border>
      <left/>
      <right/>
      <top style="hair">
        <color auto="1"/>
      </top>
      <bottom style="hair">
        <color auto="1"/>
      </bottom>
      <diagonal/>
    </border>
    <border>
      <left/>
      <right/>
      <top style="thin">
        <color indexed="64"/>
      </top>
      <bottom/>
      <diagonal/>
    </border>
    <border>
      <left style="medium">
        <color indexed="8"/>
      </left>
      <right style="medium">
        <color indexed="8"/>
      </right>
      <top style="medium">
        <color auto="1"/>
      </top>
      <bottom style="medium">
        <color indexed="8"/>
      </bottom>
      <diagonal/>
    </border>
    <border>
      <left/>
      <right style="hair">
        <color indexed="8"/>
      </right>
      <top style="medium">
        <color indexed="8"/>
      </top>
      <bottom/>
      <diagonal/>
    </border>
    <border>
      <left/>
      <right style="hair">
        <color indexed="8"/>
      </right>
      <top/>
      <bottom/>
      <diagonal/>
    </border>
    <border>
      <left/>
      <right style="hair">
        <color indexed="8"/>
      </right>
      <top/>
      <bottom style="thin">
        <color indexed="64"/>
      </bottom>
      <diagonal/>
    </border>
    <border>
      <left/>
      <right style="hair">
        <color indexed="8"/>
      </right>
      <top style="thin">
        <color indexed="64"/>
      </top>
      <bottom style="thin">
        <color indexed="64"/>
      </bottom>
      <diagonal/>
    </border>
    <border>
      <left/>
      <right style="hair">
        <color indexed="8"/>
      </right>
      <top/>
      <bottom style="double">
        <color indexed="64"/>
      </bottom>
      <diagonal/>
    </border>
    <border>
      <left/>
      <right style="hair">
        <color auto="1"/>
      </right>
      <top/>
      <bottom style="medium">
        <color auto="1"/>
      </bottom>
      <diagonal/>
    </border>
    <border>
      <left/>
      <right style="hair">
        <color auto="1"/>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hair">
        <color auto="1"/>
      </bottom>
      <diagonal/>
    </border>
    <border>
      <left/>
      <right style="hair">
        <color indexed="8"/>
      </right>
      <top/>
      <bottom style="medium">
        <color indexed="8"/>
      </bottom>
      <diagonal/>
    </border>
    <border>
      <left/>
      <right style="hair">
        <color indexed="8"/>
      </right>
      <top/>
      <bottom style="medium">
        <color auto="1"/>
      </bottom>
      <diagonal/>
    </border>
    <border>
      <left/>
      <right style="hair">
        <color indexed="8"/>
      </right>
      <top style="thin">
        <color indexed="64"/>
      </top>
      <bottom style="double">
        <color indexed="64"/>
      </bottom>
      <diagonal/>
    </border>
  </borders>
  <cellStyleXfs count="18">
    <xf numFmtId="0" fontId="0" fillId="0" borderId="0"/>
    <xf numFmtId="170" fontId="32" fillId="0" borderId="0"/>
    <xf numFmtId="40" fontId="34" fillId="0" borderId="0" applyFont="0" applyFill="0" applyBorder="0" applyAlignment="0" applyProtection="0"/>
    <xf numFmtId="9" fontId="34" fillId="0" borderId="0" applyFont="0" applyFill="0" applyBorder="0" applyAlignment="0" applyProtection="0"/>
    <xf numFmtId="172" fontId="37" fillId="0" borderId="0"/>
    <xf numFmtId="172" fontId="37" fillId="0" borderId="0"/>
    <xf numFmtId="172" fontId="37" fillId="0" borderId="0"/>
    <xf numFmtId="172" fontId="37" fillId="0" borderId="0"/>
    <xf numFmtId="172" fontId="37" fillId="0" borderId="0"/>
    <xf numFmtId="172" fontId="37" fillId="0" borderId="0"/>
    <xf numFmtId="172" fontId="37" fillId="0" borderId="0"/>
    <xf numFmtId="172" fontId="37" fillId="0" borderId="0"/>
    <xf numFmtId="173" fontId="38" fillId="0" borderId="0"/>
    <xf numFmtId="0" fontId="1" fillId="0" borderId="0"/>
    <xf numFmtId="0" fontId="1" fillId="0" borderId="0"/>
    <xf numFmtId="0" fontId="1" fillId="0" borderId="0"/>
    <xf numFmtId="170" fontId="32" fillId="0" borderId="0"/>
    <xf numFmtId="0" fontId="1" fillId="0" borderId="0">
      <alignment horizontal="left" wrapText="1"/>
    </xf>
  </cellStyleXfs>
  <cellXfs count="236">
    <xf numFmtId="0" fontId="0" fillId="0" borderId="0" xfId="0"/>
    <xf numFmtId="0" fontId="0" fillId="0" borderId="1" xfId="0" applyBorder="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xf>
    <xf numFmtId="37" fontId="4" fillId="0" borderId="0" xfId="0" applyNumberFormat="1" applyFont="1" applyAlignment="1">
      <alignment horizontal="right"/>
    </xf>
    <xf numFmtId="164" fontId="5" fillId="0" borderId="0" xfId="0" applyNumberFormat="1" applyFont="1" applyAlignment="1">
      <alignment horizontal="right"/>
    </xf>
    <xf numFmtId="165" fontId="6" fillId="0" borderId="0" xfId="0" applyNumberFormat="1" applyFont="1" applyAlignment="1">
      <alignment horizontal="right"/>
    </xf>
    <xf numFmtId="165" fontId="7" fillId="0" borderId="0" xfId="0" applyNumberFormat="1" applyFont="1" applyAlignment="1">
      <alignment horizontal="right"/>
    </xf>
    <xf numFmtId="166" fontId="8" fillId="0" borderId="0" xfId="0" applyNumberFormat="1" applyFont="1" applyAlignment="1">
      <alignment horizontal="right"/>
    </xf>
    <xf numFmtId="0" fontId="1" fillId="0" borderId="0" xfId="0" applyFont="1" applyAlignment="1">
      <alignment horizontal="left"/>
    </xf>
    <xf numFmtId="167" fontId="1" fillId="0" borderId="0" xfId="0" applyNumberFormat="1" applyFont="1" applyAlignment="1">
      <alignment horizontal="right"/>
    </xf>
    <xf numFmtId="165" fontId="1" fillId="0" borderId="0" xfId="0" applyNumberFormat="1" applyFont="1" applyAlignment="1">
      <alignment horizontal="right"/>
    </xf>
    <xf numFmtId="168" fontId="1" fillId="0" borderId="0" xfId="0" applyNumberFormat="1" applyFont="1" applyAlignment="1">
      <alignment horizontal="right"/>
    </xf>
    <xf numFmtId="37" fontId="1" fillId="0" borderId="0" xfId="0" applyNumberFormat="1" applyFont="1" applyAlignment="1">
      <alignment horizontal="right"/>
    </xf>
    <xf numFmtId="0" fontId="1" fillId="0" borderId="0" xfId="0" applyNumberFormat="1" applyFont="1" applyAlignment="1">
      <alignment horizontal="right"/>
    </xf>
    <xf numFmtId="0" fontId="1" fillId="0" borderId="0" xfId="0" applyFont="1" applyAlignment="1">
      <alignment horizontal="left" indent="1"/>
    </xf>
    <xf numFmtId="0" fontId="1" fillId="0" borderId="0" xfId="0" applyFont="1" applyAlignment="1">
      <alignment horizontal="left" wrapText="1"/>
    </xf>
    <xf numFmtId="37" fontId="1" fillId="0" borderId="5" xfId="0" applyNumberFormat="1" applyFont="1" applyBorder="1" applyAlignment="1">
      <alignment horizontal="right"/>
    </xf>
    <xf numFmtId="0" fontId="1" fillId="0" borderId="0" xfId="0" applyFont="1"/>
    <xf numFmtId="166" fontId="1" fillId="0" borderId="0" xfId="0" applyNumberFormat="1" applyFont="1" applyAlignment="1">
      <alignment horizontal="right"/>
    </xf>
    <xf numFmtId="0" fontId="31" fillId="0" borderId="0" xfId="0" applyFont="1" applyAlignment="1">
      <alignment horizontal="left"/>
    </xf>
    <xf numFmtId="0" fontId="1" fillId="0" borderId="0" xfId="0" applyFont="1" applyAlignment="1">
      <alignment horizontal="left" indent="2"/>
    </xf>
    <xf numFmtId="169" fontId="1" fillId="0" borderId="0" xfId="0" applyNumberFormat="1" applyFont="1" applyAlignment="1">
      <alignment horizontal="right"/>
    </xf>
    <xf numFmtId="170" fontId="32" fillId="0" borderId="0" xfId="1"/>
    <xf numFmtId="170" fontId="32" fillId="0" borderId="0" xfId="1" applyAlignment="1">
      <alignment horizontal="right"/>
    </xf>
    <xf numFmtId="170" fontId="33" fillId="0" borderId="0" xfId="1" applyFont="1"/>
    <xf numFmtId="170" fontId="27" fillId="0" borderId="0" xfId="1" quotePrefix="1" applyNumberFormat="1" applyFont="1" applyAlignment="1" applyProtection="1">
      <alignment horizontal="center"/>
    </xf>
    <xf numFmtId="170" fontId="27" fillId="0" borderId="0" xfId="1" applyFont="1" applyAlignment="1">
      <alignment horizontal="center"/>
    </xf>
    <xf numFmtId="170" fontId="27" fillId="0" borderId="0" xfId="1" applyNumberFormat="1" applyFont="1" applyAlignment="1" applyProtection="1">
      <alignment horizontal="center"/>
    </xf>
    <xf numFmtId="170" fontId="1" fillId="0" borderId="0" xfId="1" applyFont="1"/>
    <xf numFmtId="170" fontId="1" fillId="0" borderId="0" xfId="1" applyNumberFormat="1" applyFont="1" applyAlignment="1" applyProtection="1">
      <alignment horizontal="left"/>
    </xf>
    <xf numFmtId="171" fontId="1" fillId="0" borderId="0" xfId="2" applyNumberFormat="1" applyFont="1" applyProtection="1"/>
    <xf numFmtId="171" fontId="1" fillId="0" borderId="0" xfId="2" applyNumberFormat="1" applyFont="1" applyFill="1" applyProtection="1"/>
    <xf numFmtId="170" fontId="32" fillId="0" borderId="0" xfId="1" applyFill="1"/>
    <xf numFmtId="170" fontId="35" fillId="0" borderId="0" xfId="1" applyFont="1"/>
    <xf numFmtId="10" fontId="1" fillId="0" borderId="0" xfId="3" applyNumberFormat="1" applyFont="1" applyProtection="1"/>
    <xf numFmtId="171" fontId="1" fillId="0" borderId="0" xfId="2" applyNumberFormat="1" applyFont="1" applyBorder="1" applyProtection="1"/>
    <xf numFmtId="170" fontId="36" fillId="0" borderId="0" xfId="1" applyFont="1"/>
    <xf numFmtId="10" fontId="1" fillId="0" borderId="0" xfId="3" applyNumberFormat="1" applyFont="1"/>
    <xf numFmtId="170" fontId="39" fillId="0" borderId="0" xfId="16" applyFont="1" applyAlignment="1">
      <alignment horizontal="center"/>
    </xf>
    <xf numFmtId="170" fontId="39" fillId="0" borderId="0" xfId="16" applyFont="1"/>
    <xf numFmtId="170" fontId="39" fillId="0" borderId="0" xfId="16" applyNumberFormat="1" applyFont="1" applyAlignment="1" applyProtection="1">
      <alignment horizontal="center"/>
    </xf>
    <xf numFmtId="170" fontId="39" fillId="0" borderId="0" xfId="16" applyNumberFormat="1" applyFont="1" applyAlignment="1" applyProtection="1">
      <alignment horizontal="fill"/>
    </xf>
    <xf numFmtId="170" fontId="39" fillId="0" borderId="0" xfId="16" applyFont="1" applyAlignment="1" applyProtection="1">
      <alignment horizontal="center"/>
    </xf>
    <xf numFmtId="174" fontId="39" fillId="0" borderId="0" xfId="16" applyNumberFormat="1" applyFont="1" applyProtection="1"/>
    <xf numFmtId="175" fontId="39" fillId="0" borderId="0" xfId="16" applyNumberFormat="1" applyFont="1" applyProtection="1"/>
    <xf numFmtId="170" fontId="32" fillId="0" borderId="0" xfId="16"/>
    <xf numFmtId="3" fontId="39" fillId="0" borderId="0" xfId="16" applyNumberFormat="1" applyFont="1" applyProtection="1"/>
    <xf numFmtId="170" fontId="39" fillId="0" borderId="0" xfId="16" quotePrefix="1" applyNumberFormat="1" applyFont="1" applyAlignment="1" applyProtection="1">
      <alignment horizontal="center"/>
    </xf>
    <xf numFmtId="170" fontId="39" fillId="0" borderId="0" xfId="16" applyNumberFormat="1" applyFont="1" applyFill="1" applyAlignment="1" applyProtection="1">
      <alignment horizontal="right"/>
    </xf>
    <xf numFmtId="37" fontId="39" fillId="0" borderId="0" xfId="16" applyNumberFormat="1" applyFont="1" applyFill="1" applyProtection="1"/>
    <xf numFmtId="3" fontId="39" fillId="0" borderId="0" xfId="16" applyNumberFormat="1" applyFont="1" applyAlignment="1" applyProtection="1">
      <alignment horizontal="right"/>
    </xf>
    <xf numFmtId="174" fontId="39" fillId="0" borderId="0" xfId="16" applyNumberFormat="1" applyFont="1" applyFill="1" applyProtection="1"/>
    <xf numFmtId="3" fontId="39" fillId="0" borderId="0" xfId="16" applyNumberFormat="1" applyFont="1" applyAlignment="1">
      <alignment horizontal="right"/>
    </xf>
    <xf numFmtId="170" fontId="39" fillId="0" borderId="0" xfId="16" applyNumberFormat="1" applyFont="1" applyFill="1" applyProtection="1"/>
    <xf numFmtId="10" fontId="39" fillId="0" borderId="0" xfId="16" applyNumberFormat="1" applyFont="1" applyProtection="1"/>
    <xf numFmtId="10" fontId="39" fillId="0" borderId="0" xfId="16" applyNumberFormat="1" applyFont="1" applyAlignment="1" applyProtection="1">
      <alignment horizontal="center"/>
    </xf>
    <xf numFmtId="174" fontId="39" fillId="0" borderId="0" xfId="16" applyNumberFormat="1" applyFont="1" applyAlignment="1" applyProtection="1">
      <alignment horizontal="center"/>
    </xf>
    <xf numFmtId="0" fontId="0" fillId="0" borderId="0" xfId="0" applyAlignment="1">
      <alignment horizontal="center"/>
    </xf>
    <xf numFmtId="0" fontId="28" fillId="0" borderId="0" xfId="0" applyFont="1"/>
    <xf numFmtId="176" fontId="0" fillId="0" borderId="0" xfId="0" applyNumberFormat="1"/>
    <xf numFmtId="177" fontId="0" fillId="0" borderId="0" xfId="0" applyNumberFormat="1"/>
    <xf numFmtId="178" fontId="0" fillId="0" borderId="0" xfId="0" applyNumberFormat="1"/>
    <xf numFmtId="176" fontId="28" fillId="0" borderId="0" xfId="0" applyNumberFormat="1" applyFont="1"/>
    <xf numFmtId="176" fontId="7" fillId="0" borderId="0" xfId="0" applyNumberFormat="1" applyFont="1" applyAlignment="1">
      <alignment horizontal="right"/>
    </xf>
    <xf numFmtId="176" fontId="6" fillId="0" borderId="0" xfId="0" applyNumberFormat="1" applyFont="1" applyAlignment="1">
      <alignment horizontal="right"/>
    </xf>
    <xf numFmtId="180" fontId="6" fillId="0" borderId="0" xfId="0" applyNumberFormat="1" applyFont="1" applyAlignment="1">
      <alignment horizontal="right"/>
    </xf>
    <xf numFmtId="180" fontId="7" fillId="0" borderId="0" xfId="0" applyNumberFormat="1" applyFont="1" applyAlignment="1">
      <alignment horizontal="right"/>
    </xf>
    <xf numFmtId="180" fontId="0" fillId="0" borderId="0" xfId="0" applyNumberFormat="1"/>
    <xf numFmtId="37" fontId="4" fillId="0" borderId="10" xfId="0" applyNumberFormat="1" applyFont="1" applyBorder="1" applyAlignment="1">
      <alignment horizontal="right"/>
    </xf>
    <xf numFmtId="0" fontId="1" fillId="0" borderId="0" xfId="0" applyFont="1" applyAlignment="1">
      <alignment horizontal="center" vertical="center"/>
    </xf>
    <xf numFmtId="0" fontId="9" fillId="0" borderId="11" xfId="0" applyFont="1" applyBorder="1" applyAlignment="1">
      <alignment horizontal="left"/>
    </xf>
    <xf numFmtId="37" fontId="10" fillId="0" borderId="11" xfId="0" applyNumberFormat="1" applyFont="1" applyBorder="1" applyAlignment="1">
      <alignment horizontal="right"/>
    </xf>
    <xf numFmtId="164" fontId="11" fillId="0" borderId="11" xfId="0" applyNumberFormat="1" applyFont="1" applyBorder="1" applyAlignment="1">
      <alignment horizontal="right"/>
    </xf>
    <xf numFmtId="176" fontId="12" fillId="0" borderId="11" xfId="0" applyNumberFormat="1" applyFont="1" applyBorder="1" applyAlignment="1">
      <alignment horizontal="right"/>
    </xf>
    <xf numFmtId="176" fontId="13" fillId="0" borderId="11" xfId="0" applyNumberFormat="1" applyFont="1" applyBorder="1" applyAlignment="1">
      <alignment horizontal="right"/>
    </xf>
    <xf numFmtId="166" fontId="14" fillId="0" borderId="11" xfId="0" applyNumberFormat="1" applyFont="1" applyBorder="1" applyAlignment="1">
      <alignment horizontal="right"/>
    </xf>
    <xf numFmtId="0" fontId="15" fillId="0" borderId="11" xfId="0" applyFont="1" applyBorder="1" applyAlignment="1">
      <alignment horizontal="left"/>
    </xf>
    <xf numFmtId="164" fontId="17" fillId="0" borderId="11" xfId="0" applyNumberFormat="1" applyFont="1" applyBorder="1" applyAlignment="1">
      <alignment horizontal="right"/>
    </xf>
    <xf numFmtId="180" fontId="18" fillId="0" borderId="11" xfId="0" applyNumberFormat="1" applyFont="1" applyBorder="1" applyAlignment="1">
      <alignment horizontal="right"/>
    </xf>
    <xf numFmtId="180" fontId="19" fillId="0" borderId="11" xfId="0" applyNumberFormat="1" applyFont="1" applyBorder="1" applyAlignment="1">
      <alignment horizontal="right"/>
    </xf>
    <xf numFmtId="166" fontId="20" fillId="0" borderId="11" xfId="0" applyNumberFormat="1" applyFont="1" applyBorder="1" applyAlignment="1">
      <alignment horizontal="right"/>
    </xf>
    <xf numFmtId="37" fontId="16" fillId="0" borderId="12" xfId="0" applyNumberFormat="1" applyFont="1" applyBorder="1" applyAlignment="1">
      <alignment horizontal="right"/>
    </xf>
    <xf numFmtId="37" fontId="4" fillId="0" borderId="13" xfId="0" applyNumberFormat="1" applyFont="1" applyBorder="1" applyAlignment="1">
      <alignment horizontal="right"/>
    </xf>
    <xf numFmtId="0" fontId="21" fillId="0" borderId="11" xfId="0" applyFont="1" applyBorder="1" applyAlignment="1">
      <alignment horizontal="left"/>
    </xf>
    <xf numFmtId="164" fontId="23" fillId="0" borderId="11" xfId="0" applyNumberFormat="1" applyFont="1" applyBorder="1" applyAlignment="1">
      <alignment horizontal="right"/>
    </xf>
    <xf numFmtId="180" fontId="24" fillId="0" borderId="11" xfId="0" applyNumberFormat="1" applyFont="1" applyBorder="1" applyAlignment="1">
      <alignment horizontal="right"/>
    </xf>
    <xf numFmtId="180" fontId="25" fillId="0" borderId="11" xfId="0" applyNumberFormat="1" applyFont="1" applyBorder="1" applyAlignment="1">
      <alignment horizontal="right"/>
    </xf>
    <xf numFmtId="166" fontId="26" fillId="0" borderId="11" xfId="0" applyNumberFormat="1" applyFont="1" applyBorder="1" applyAlignment="1">
      <alignment horizontal="right"/>
    </xf>
    <xf numFmtId="37" fontId="22" fillId="0" borderId="12" xfId="0" applyNumberFormat="1" applyFont="1" applyBorder="1" applyAlignment="1">
      <alignment horizontal="right"/>
    </xf>
    <xf numFmtId="0" fontId="41" fillId="0" borderId="0" xfId="0" applyFont="1"/>
    <xf numFmtId="0" fontId="40" fillId="0" borderId="0" xfId="0" applyFont="1" applyAlignment="1">
      <alignment horizontal="left"/>
    </xf>
    <xf numFmtId="0" fontId="0" fillId="0" borderId="0" xfId="0" quotePrefix="1" applyAlignment="1">
      <alignment horizontal="center"/>
    </xf>
    <xf numFmtId="0" fontId="27" fillId="4" borderId="2" xfId="0" applyFont="1" applyFill="1" applyBorder="1" applyAlignment="1">
      <alignment horizontal="center" vertical="center" wrapText="1"/>
    </xf>
    <xf numFmtId="37" fontId="4" fillId="0" borderId="0" xfId="0" applyNumberFormat="1" applyFont="1" applyBorder="1" applyAlignment="1">
      <alignment horizontal="right"/>
    </xf>
    <xf numFmtId="170" fontId="1" fillId="0" borderId="0" xfId="0" applyNumberFormat="1" applyFont="1" applyAlignment="1" applyProtection="1">
      <alignment horizontal="center"/>
    </xf>
    <xf numFmtId="0" fontId="1" fillId="0" borderId="11" xfId="0" applyFont="1" applyBorder="1" applyAlignment="1">
      <alignment horizontal="left"/>
    </xf>
    <xf numFmtId="168" fontId="1" fillId="0" borderId="11" xfId="0" applyNumberFormat="1" applyFont="1" applyBorder="1" applyAlignment="1">
      <alignment horizontal="right"/>
    </xf>
    <xf numFmtId="181" fontId="1" fillId="0" borderId="0" xfId="0" applyNumberFormat="1" applyFont="1" applyAlignment="1">
      <alignment horizontal="right"/>
    </xf>
    <xf numFmtId="180" fontId="1" fillId="0" borderId="0" xfId="0" applyNumberFormat="1" applyFont="1" applyAlignment="1">
      <alignment horizontal="right"/>
    </xf>
    <xf numFmtId="180" fontId="1" fillId="0" borderId="11" xfId="0" applyNumberFormat="1" applyFont="1" applyBorder="1" applyAlignment="1">
      <alignment horizontal="right"/>
    </xf>
    <xf numFmtId="170" fontId="1" fillId="0" borderId="0" xfId="0" applyNumberFormat="1" applyFont="1" applyAlignment="1" applyProtection="1">
      <alignment horizontal="left" indent="1"/>
    </xf>
    <xf numFmtId="0" fontId="1" fillId="0" borderId="0" xfId="0" applyFont="1" applyBorder="1" applyAlignment="1">
      <alignment horizontal="left"/>
    </xf>
    <xf numFmtId="168" fontId="1" fillId="0" borderId="0" xfId="0" applyNumberFormat="1" applyFont="1" applyBorder="1" applyAlignment="1">
      <alignment horizontal="right"/>
    </xf>
    <xf numFmtId="37" fontId="1" fillId="0" borderId="0" xfId="0" applyNumberFormat="1" applyFont="1" applyBorder="1" applyAlignment="1">
      <alignment horizontal="right"/>
    </xf>
    <xf numFmtId="0" fontId="0" fillId="0" borderId="0" xfId="0" applyBorder="1"/>
    <xf numFmtId="37" fontId="1" fillId="0" borderId="10" xfId="0" applyNumberFormat="1" applyFont="1" applyBorder="1" applyAlignment="1">
      <alignment horizontal="right"/>
    </xf>
    <xf numFmtId="0" fontId="0" fillId="0" borderId="15" xfId="0" applyBorder="1"/>
    <xf numFmtId="0" fontId="27" fillId="4" borderId="16" xfId="0" applyFont="1" applyFill="1" applyBorder="1" applyAlignment="1">
      <alignment horizontal="center" vertical="center" wrapText="1"/>
    </xf>
    <xf numFmtId="0" fontId="1" fillId="0" borderId="0" xfId="0" applyFont="1" applyBorder="1" applyAlignment="1">
      <alignment horizontal="left" indent="1"/>
    </xf>
    <xf numFmtId="37" fontId="1" fillId="0" borderId="13" xfId="0" applyNumberFormat="1" applyFont="1" applyBorder="1" applyAlignment="1">
      <alignment horizontal="right"/>
    </xf>
    <xf numFmtId="168" fontId="1" fillId="0" borderId="10" xfId="0" applyNumberFormat="1" applyFont="1" applyBorder="1" applyAlignment="1">
      <alignment horizontal="right"/>
    </xf>
    <xf numFmtId="0" fontId="28" fillId="0" borderId="0" xfId="0" applyFont="1" applyBorder="1"/>
    <xf numFmtId="0" fontId="1" fillId="0" borderId="0" xfId="0" applyFont="1" applyBorder="1" applyAlignment="1">
      <alignment horizontal="left" indent="2"/>
    </xf>
    <xf numFmtId="0" fontId="28" fillId="0" borderId="0" xfId="0" applyFont="1" applyBorder="1" applyAlignment="1">
      <alignment horizontal="left" indent="1"/>
    </xf>
    <xf numFmtId="37" fontId="0" fillId="0" borderId="0" xfId="0" applyNumberFormat="1"/>
    <xf numFmtId="37" fontId="28" fillId="0" borderId="0" xfId="0" applyNumberFormat="1" applyFont="1" applyBorder="1"/>
    <xf numFmtId="37" fontId="28" fillId="0" borderId="0" xfId="0" applyNumberFormat="1" applyFont="1"/>
    <xf numFmtId="0" fontId="1" fillId="0" borderId="0" xfId="0" applyFont="1" applyBorder="1" applyAlignment="1">
      <alignment horizontal="center"/>
    </xf>
    <xf numFmtId="0" fontId="1" fillId="0" borderId="0" xfId="0" applyNumberFormat="1" applyFont="1" applyBorder="1" applyAlignment="1">
      <alignment horizontal="right"/>
    </xf>
    <xf numFmtId="37" fontId="1" fillId="0" borderId="17" xfId="0" applyNumberFormat="1" applyFont="1" applyBorder="1" applyAlignment="1">
      <alignment horizontal="right"/>
    </xf>
    <xf numFmtId="0" fontId="28" fillId="0" borderId="18" xfId="0" applyFont="1" applyBorder="1"/>
    <xf numFmtId="37" fontId="1" fillId="0" borderId="18" xfId="0" applyNumberFormat="1" applyFont="1" applyBorder="1" applyAlignment="1">
      <alignment horizontal="right"/>
    </xf>
    <xf numFmtId="0" fontId="0" fillId="0" borderId="18" xfId="0" applyBorder="1"/>
    <xf numFmtId="37" fontId="1" fillId="0" borderId="19" xfId="0" applyNumberFormat="1" applyFont="1" applyBorder="1" applyAlignment="1">
      <alignment horizontal="right"/>
    </xf>
    <xf numFmtId="37" fontId="1" fillId="0" borderId="20" xfId="0" applyNumberFormat="1" applyFont="1" applyBorder="1" applyAlignment="1">
      <alignment horizontal="right"/>
    </xf>
    <xf numFmtId="37" fontId="1" fillId="0" borderId="21" xfId="0" applyNumberFormat="1" applyFont="1" applyBorder="1" applyAlignment="1">
      <alignment horizontal="right"/>
    </xf>
    <xf numFmtId="0" fontId="1" fillId="0" borderId="1" xfId="0" applyFont="1" applyBorder="1" applyAlignment="1">
      <alignment horizontal="center"/>
    </xf>
    <xf numFmtId="0" fontId="1" fillId="0" borderId="1" xfId="0" applyFont="1" applyBorder="1" applyAlignment="1">
      <alignment horizontal="left"/>
    </xf>
    <xf numFmtId="37" fontId="1" fillId="0" borderId="1" xfId="0" applyNumberFormat="1" applyFont="1" applyBorder="1" applyAlignment="1">
      <alignment horizontal="right"/>
    </xf>
    <xf numFmtId="37" fontId="1" fillId="0" borderId="22" xfId="0" applyNumberFormat="1" applyFont="1" applyBorder="1" applyAlignment="1">
      <alignment horizontal="right"/>
    </xf>
    <xf numFmtId="0" fontId="2" fillId="0" borderId="1" xfId="0" applyFont="1" applyBorder="1" applyAlignment="1">
      <alignment horizontal="center"/>
    </xf>
    <xf numFmtId="0" fontId="3" fillId="0" borderId="1" xfId="0" applyFont="1" applyBorder="1" applyAlignment="1">
      <alignment horizontal="left"/>
    </xf>
    <xf numFmtId="37" fontId="4" fillId="0" borderId="1" xfId="0" applyNumberFormat="1" applyFont="1" applyBorder="1" applyAlignment="1">
      <alignment horizontal="right"/>
    </xf>
    <xf numFmtId="164" fontId="5" fillId="0" borderId="1" xfId="0" applyNumberFormat="1" applyFont="1" applyBorder="1" applyAlignment="1">
      <alignment horizontal="right"/>
    </xf>
    <xf numFmtId="165" fontId="6" fillId="0" borderId="1" xfId="0" applyNumberFormat="1" applyFont="1" applyBorder="1" applyAlignment="1">
      <alignment horizontal="right"/>
    </xf>
    <xf numFmtId="165" fontId="7" fillId="0" borderId="1" xfId="0" applyNumberFormat="1" applyFont="1" applyBorder="1" applyAlignment="1">
      <alignment horizontal="right"/>
    </xf>
    <xf numFmtId="166" fontId="8" fillId="0" borderId="1" xfId="0" applyNumberFormat="1" applyFont="1" applyBorder="1" applyAlignment="1">
      <alignment horizontal="right"/>
    </xf>
    <xf numFmtId="0" fontId="1" fillId="0" borderId="1" xfId="0" applyFont="1" applyBorder="1"/>
    <xf numFmtId="0" fontId="2" fillId="0" borderId="0" xfId="0" applyFont="1" applyBorder="1" applyAlignment="1">
      <alignment horizontal="center"/>
    </xf>
    <xf numFmtId="0" fontId="3" fillId="0" borderId="0" xfId="0" applyFont="1" applyBorder="1" applyAlignment="1">
      <alignment horizontal="left"/>
    </xf>
    <xf numFmtId="164" fontId="5" fillId="0" borderId="0" xfId="0" applyNumberFormat="1" applyFont="1" applyBorder="1" applyAlignment="1">
      <alignment horizontal="right"/>
    </xf>
    <xf numFmtId="165" fontId="6" fillId="0" borderId="0" xfId="0" applyNumberFormat="1" applyFont="1" applyBorder="1" applyAlignment="1">
      <alignment horizontal="right"/>
    </xf>
    <xf numFmtId="165" fontId="7" fillId="0" borderId="0" xfId="0" applyNumberFormat="1" applyFont="1" applyBorder="1" applyAlignment="1">
      <alignment horizontal="right"/>
    </xf>
    <xf numFmtId="166" fontId="8" fillId="0" borderId="0" xfId="0" applyNumberFormat="1" applyFont="1" applyBorder="1" applyAlignment="1">
      <alignment horizontal="right"/>
    </xf>
    <xf numFmtId="0" fontId="1" fillId="0" borderId="0" xfId="0" applyFont="1" applyBorder="1"/>
    <xf numFmtId="37" fontId="1" fillId="0" borderId="23" xfId="0" applyNumberFormat="1" applyFont="1" applyBorder="1" applyAlignment="1">
      <alignment horizontal="right"/>
    </xf>
    <xf numFmtId="179" fontId="1" fillId="0" borderId="0" xfId="0" applyNumberFormat="1" applyFont="1" applyAlignment="1">
      <alignment horizontal="right"/>
    </xf>
    <xf numFmtId="165" fontId="1" fillId="0" borderId="24" xfId="0" applyNumberFormat="1" applyFont="1" applyBorder="1" applyAlignment="1">
      <alignment horizontal="right"/>
    </xf>
    <xf numFmtId="37" fontId="1" fillId="0" borderId="25" xfId="0" applyNumberFormat="1" applyFont="1" applyBorder="1" applyAlignment="1">
      <alignment horizontal="right"/>
    </xf>
    <xf numFmtId="0" fontId="44" fillId="0" borderId="0" xfId="0" applyFont="1" applyBorder="1"/>
    <xf numFmtId="0" fontId="31" fillId="0" borderId="0" xfId="0" applyFont="1" applyBorder="1" applyAlignment="1">
      <alignment horizontal="left"/>
    </xf>
    <xf numFmtId="0" fontId="31" fillId="0" borderId="0" xfId="0" applyFont="1" applyBorder="1" applyAlignment="1"/>
    <xf numFmtId="0" fontId="1" fillId="0" borderId="26" xfId="0" applyFont="1" applyBorder="1" applyAlignment="1">
      <alignment horizontal="center"/>
    </xf>
    <xf numFmtId="0" fontId="0" fillId="0" borderId="26" xfId="0" applyBorder="1"/>
    <xf numFmtId="0" fontId="0" fillId="0" borderId="0" xfId="0" applyFont="1"/>
    <xf numFmtId="0" fontId="27" fillId="0" borderId="0" xfId="0" applyFont="1" applyBorder="1" applyAlignment="1">
      <alignment horizontal="center" vertical="center" wrapText="1"/>
    </xf>
    <xf numFmtId="0" fontId="29" fillId="0" borderId="1" xfId="0" applyFont="1" applyBorder="1" applyAlignment="1">
      <alignment horizontal="center" wrapText="1"/>
    </xf>
    <xf numFmtId="0" fontId="29" fillId="0" borderId="1" xfId="0" applyFont="1" applyBorder="1" applyAlignment="1">
      <alignment horizontal="center"/>
    </xf>
    <xf numFmtId="166" fontId="1" fillId="0" borderId="0" xfId="0" applyNumberFormat="1" applyFont="1" applyAlignment="1">
      <alignment horizontal="center"/>
    </xf>
    <xf numFmtId="180" fontId="1" fillId="0" borderId="0" xfId="0" applyNumberFormat="1" applyFont="1" applyAlignment="1">
      <alignment horizontal="center"/>
    </xf>
    <xf numFmtId="180" fontId="0" fillId="0" borderId="0" xfId="0" applyNumberFormat="1" applyAlignment="1">
      <alignment horizontal="center"/>
    </xf>
    <xf numFmtId="0" fontId="27" fillId="0" borderId="0" xfId="0" applyFont="1" applyBorder="1" applyAlignment="1">
      <alignment horizontal="center" wrapText="1"/>
    </xf>
    <xf numFmtId="170" fontId="27" fillId="2" borderId="6" xfId="1" applyNumberFormat="1" applyFont="1" applyFill="1" applyBorder="1" applyAlignment="1" applyProtection="1">
      <alignment horizontal="center"/>
    </xf>
    <xf numFmtId="170" fontId="27" fillId="2" borderId="9" xfId="1" applyNumberFormat="1" applyFont="1" applyFill="1" applyBorder="1" applyAlignment="1" applyProtection="1">
      <alignment horizontal="center"/>
    </xf>
    <xf numFmtId="170" fontId="27" fillId="2" borderId="8" xfId="1" applyNumberFormat="1" applyFont="1" applyFill="1" applyBorder="1" applyAlignment="1" applyProtection="1">
      <alignment horizontal="center"/>
    </xf>
    <xf numFmtId="170" fontId="31" fillId="0" borderId="0" xfId="1" applyNumberFormat="1" applyFont="1" applyFill="1" applyBorder="1" applyAlignment="1" applyProtection="1">
      <alignment horizontal="left"/>
    </xf>
    <xf numFmtId="0" fontId="1" fillId="0" borderId="0" xfId="0" applyNumberFormat="1" applyFont="1" applyAlignment="1">
      <alignment horizontal="center"/>
    </xf>
    <xf numFmtId="180" fontId="1" fillId="0" borderId="0" xfId="0" applyNumberFormat="1" applyFont="1" applyBorder="1" applyAlignment="1">
      <alignment horizontal="right"/>
    </xf>
    <xf numFmtId="168" fontId="1" fillId="0" borderId="0" xfId="0" applyNumberFormat="1" applyFont="1" applyFill="1" applyBorder="1" applyAlignment="1">
      <alignment horizontal="right"/>
    </xf>
    <xf numFmtId="0" fontId="27" fillId="0" borderId="0" xfId="0" applyFont="1" applyAlignment="1">
      <alignment horizontal="left" vertical="center"/>
    </xf>
    <xf numFmtId="168" fontId="1" fillId="0" borderId="0" xfId="0" applyNumberFormat="1" applyFont="1" applyAlignment="1">
      <alignment horizontal="right" vertical="center"/>
    </xf>
    <xf numFmtId="168" fontId="1" fillId="0" borderId="17" xfId="0" applyNumberFormat="1" applyFont="1" applyBorder="1" applyAlignment="1">
      <alignment horizontal="right" vertical="center"/>
    </xf>
    <xf numFmtId="0" fontId="1" fillId="0" borderId="0" xfId="0" applyFont="1" applyAlignment="1">
      <alignment horizontal="left" vertical="center" indent="1"/>
    </xf>
    <xf numFmtId="183" fontId="1" fillId="0" borderId="0" xfId="0" applyNumberFormat="1" applyFont="1" applyAlignment="1">
      <alignment horizontal="right" vertical="center"/>
    </xf>
    <xf numFmtId="168" fontId="1" fillId="0" borderId="18" xfId="0" applyNumberFormat="1" applyFont="1" applyBorder="1" applyAlignment="1">
      <alignment horizontal="right" vertical="center"/>
    </xf>
    <xf numFmtId="0" fontId="27" fillId="0" borderId="0" xfId="0" applyFont="1" applyBorder="1" applyAlignment="1">
      <alignment horizontal="left" vertical="center" indent="1"/>
    </xf>
    <xf numFmtId="168" fontId="1" fillId="0" borderId="24" xfId="0" applyNumberFormat="1" applyFont="1" applyBorder="1" applyAlignment="1">
      <alignment horizontal="right" vertical="center"/>
    </xf>
    <xf numFmtId="183" fontId="1" fillId="0" borderId="24" xfId="0" applyNumberFormat="1" applyFont="1" applyBorder="1" applyAlignment="1">
      <alignment horizontal="right" vertical="center"/>
    </xf>
    <xf numFmtId="168" fontId="1" fillId="0" borderId="20" xfId="0" applyNumberFormat="1" applyFont="1" applyBorder="1" applyAlignment="1">
      <alignment horizontal="right" vertical="center"/>
    </xf>
    <xf numFmtId="0" fontId="27" fillId="0" borderId="0" xfId="0" applyFont="1" applyAlignment="1">
      <alignment horizontal="left" vertical="center" indent="1"/>
    </xf>
    <xf numFmtId="0" fontId="31" fillId="0" borderId="0" xfId="0" applyFont="1" applyAlignment="1">
      <alignment horizontal="left" vertical="center"/>
    </xf>
    <xf numFmtId="168" fontId="27" fillId="0" borderId="4" xfId="0" applyNumberFormat="1" applyFont="1" applyBorder="1" applyAlignment="1">
      <alignment horizontal="right" vertical="center"/>
    </xf>
    <xf numFmtId="183" fontId="27" fillId="0" borderId="4" xfId="0" applyNumberFormat="1" applyFont="1" applyBorder="1" applyAlignment="1">
      <alignment horizontal="right" vertical="center"/>
    </xf>
    <xf numFmtId="168" fontId="27" fillId="0" borderId="27" xfId="0" applyNumberFormat="1" applyFont="1" applyBorder="1" applyAlignment="1">
      <alignment horizontal="right" vertical="center"/>
    </xf>
    <xf numFmtId="168" fontId="27" fillId="0" borderId="0" xfId="0" applyNumberFormat="1" applyFont="1" applyBorder="1" applyAlignment="1">
      <alignment horizontal="right" vertical="center"/>
    </xf>
    <xf numFmtId="183" fontId="27" fillId="0" borderId="0" xfId="0" applyNumberFormat="1" applyFont="1" applyBorder="1" applyAlignment="1">
      <alignment horizontal="right" vertical="center"/>
    </xf>
    <xf numFmtId="168" fontId="27" fillId="0" borderId="18" xfId="0" applyNumberFormat="1" applyFont="1" applyBorder="1" applyAlignment="1">
      <alignment horizontal="right" vertical="center"/>
    </xf>
    <xf numFmtId="168" fontId="27" fillId="0" borderId="1" xfId="0" applyNumberFormat="1" applyFont="1" applyBorder="1" applyAlignment="1">
      <alignment horizontal="right" vertical="center"/>
    </xf>
    <xf numFmtId="183" fontId="27" fillId="0" borderId="1" xfId="0" applyNumberFormat="1" applyFont="1" applyBorder="1" applyAlignment="1">
      <alignment horizontal="right" vertical="center"/>
    </xf>
    <xf numFmtId="168" fontId="27" fillId="0" borderId="28" xfId="0" applyNumberFormat="1" applyFont="1" applyBorder="1" applyAlignment="1">
      <alignment horizontal="right" vertical="center"/>
    </xf>
    <xf numFmtId="0" fontId="1" fillId="0" borderId="0" xfId="0" applyFont="1" applyAlignment="1">
      <alignment horizontal="left" vertical="center"/>
    </xf>
    <xf numFmtId="168" fontId="1" fillId="0" borderId="0" xfId="0" applyNumberFormat="1" applyFont="1" applyBorder="1" applyAlignment="1">
      <alignment horizontal="right" vertical="center"/>
    </xf>
    <xf numFmtId="183" fontId="1" fillId="0" borderId="0" xfId="0" applyNumberFormat="1" applyFont="1" applyBorder="1" applyAlignment="1">
      <alignment horizontal="right" vertical="center"/>
    </xf>
    <xf numFmtId="168" fontId="27" fillId="0" borderId="25" xfId="0" applyNumberFormat="1" applyFont="1" applyBorder="1" applyAlignment="1">
      <alignment horizontal="right" vertical="center"/>
    </xf>
    <xf numFmtId="183" fontId="27" fillId="0" borderId="25" xfId="0" applyNumberFormat="1" applyFont="1" applyBorder="1" applyAlignment="1">
      <alignment horizontal="right" vertical="center"/>
    </xf>
    <xf numFmtId="168" fontId="27" fillId="0" borderId="29" xfId="0" applyNumberFormat="1" applyFont="1" applyBorder="1" applyAlignment="1">
      <alignment horizontal="right" vertical="center"/>
    </xf>
    <xf numFmtId="168" fontId="0" fillId="0" borderId="0" xfId="0" applyNumberFormat="1"/>
    <xf numFmtId="38" fontId="0" fillId="0" borderId="0" xfId="0" applyNumberFormat="1"/>
    <xf numFmtId="182" fontId="0" fillId="0" borderId="0" xfId="0" applyNumberFormat="1"/>
    <xf numFmtId="168" fontId="0" fillId="0" borderId="10" xfId="0" applyNumberFormat="1" applyBorder="1"/>
    <xf numFmtId="37" fontId="0" fillId="0" borderId="10" xfId="0" applyNumberFormat="1" applyBorder="1"/>
    <xf numFmtId="38" fontId="0" fillId="0" borderId="10" xfId="0" applyNumberFormat="1" applyBorder="1"/>
    <xf numFmtId="38" fontId="0" fillId="0" borderId="25" xfId="0" applyNumberFormat="1" applyBorder="1"/>
    <xf numFmtId="183" fontId="1" fillId="0" borderId="0" xfId="0" applyNumberFormat="1" applyFont="1" applyAlignment="1">
      <alignment horizontal="right"/>
    </xf>
    <xf numFmtId="0" fontId="27" fillId="0" borderId="0" xfId="0" applyFont="1" applyAlignment="1">
      <alignment horizontal="left" indent="1"/>
    </xf>
    <xf numFmtId="168" fontId="27" fillId="0" borderId="4" xfId="0" applyNumberFormat="1" applyFont="1" applyBorder="1" applyAlignment="1">
      <alignment horizontal="right"/>
    </xf>
    <xf numFmtId="183" fontId="27" fillId="0" borderId="4" xfId="0" applyNumberFormat="1" applyFont="1" applyBorder="1" applyAlignment="1">
      <alignment horizontal="right"/>
    </xf>
    <xf numFmtId="0" fontId="27" fillId="0" borderId="0" xfId="0" applyFont="1" applyAlignment="1">
      <alignment horizontal="left"/>
    </xf>
    <xf numFmtId="168" fontId="27" fillId="0" borderId="1" xfId="0" applyNumberFormat="1" applyFont="1" applyBorder="1" applyAlignment="1">
      <alignment horizontal="right"/>
    </xf>
    <xf numFmtId="183" fontId="27" fillId="0" borderId="1" xfId="0" applyNumberFormat="1" applyFont="1" applyBorder="1" applyAlignment="1">
      <alignment horizontal="right"/>
    </xf>
    <xf numFmtId="183" fontId="1" fillId="0" borderId="0" xfId="0" applyNumberFormat="1" applyFont="1" applyBorder="1" applyAlignment="1">
      <alignment horizontal="right"/>
    </xf>
    <xf numFmtId="168" fontId="27" fillId="0" borderId="25" xfId="0" applyNumberFormat="1" applyFont="1" applyBorder="1" applyAlignment="1">
      <alignment horizontal="right"/>
    </xf>
    <xf numFmtId="183" fontId="27" fillId="0" borderId="25" xfId="0" applyNumberFormat="1" applyFont="1" applyBorder="1" applyAlignment="1">
      <alignment horizontal="right"/>
    </xf>
    <xf numFmtId="168" fontId="1" fillId="0" borderId="24" xfId="0" applyNumberFormat="1" applyFont="1" applyBorder="1" applyAlignment="1">
      <alignment horizontal="right"/>
    </xf>
    <xf numFmtId="183" fontId="1" fillId="0" borderId="24" xfId="0" applyNumberFormat="1" applyFont="1" applyBorder="1" applyAlignment="1">
      <alignment horizontal="right"/>
    </xf>
    <xf numFmtId="168" fontId="1" fillId="0" borderId="17" xfId="0" applyNumberFormat="1" applyFont="1" applyBorder="1" applyAlignment="1">
      <alignment horizontal="right"/>
    </xf>
    <xf numFmtId="168" fontId="1" fillId="0" borderId="18" xfId="0" applyNumberFormat="1" applyFont="1" applyBorder="1" applyAlignment="1">
      <alignment horizontal="right"/>
    </xf>
    <xf numFmtId="168" fontId="1" fillId="0" borderId="20" xfId="0" applyNumberFormat="1" applyFont="1" applyBorder="1" applyAlignment="1">
      <alignment horizontal="right"/>
    </xf>
    <xf numFmtId="168" fontId="27" fillId="0" borderId="27" xfId="0" applyNumberFormat="1" applyFont="1" applyBorder="1" applyAlignment="1">
      <alignment horizontal="right"/>
    </xf>
    <xf numFmtId="168" fontId="27" fillId="0" borderId="28" xfId="0" applyNumberFormat="1" applyFont="1" applyBorder="1" applyAlignment="1">
      <alignment horizontal="right"/>
    </xf>
    <xf numFmtId="168" fontId="27" fillId="0" borderId="29" xfId="0" applyNumberFormat="1" applyFont="1" applyBorder="1" applyAlignment="1">
      <alignment horizontal="right"/>
    </xf>
    <xf numFmtId="184" fontId="1" fillId="0" borderId="0" xfId="0" applyNumberFormat="1" applyFont="1" applyAlignment="1">
      <alignment horizontal="right"/>
    </xf>
    <xf numFmtId="0" fontId="46" fillId="0" borderId="0" xfId="0" applyFont="1"/>
    <xf numFmtId="37" fontId="4" fillId="0" borderId="14" xfId="0" applyNumberFormat="1" applyFont="1" applyFill="1" applyBorder="1" applyAlignment="1">
      <alignment horizontal="right"/>
    </xf>
    <xf numFmtId="168" fontId="1" fillId="0" borderId="11" xfId="0" applyNumberFormat="1" applyFont="1" applyFill="1" applyBorder="1" applyAlignment="1">
      <alignment horizontal="right"/>
    </xf>
    <xf numFmtId="37" fontId="1" fillId="0" borderId="0" xfId="0" applyNumberFormat="1" applyFont="1" applyFill="1" applyAlignment="1">
      <alignment horizontal="right"/>
    </xf>
    <xf numFmtId="38" fontId="0" fillId="0" borderId="0" xfId="0" applyNumberFormat="1" applyBorder="1"/>
    <xf numFmtId="170" fontId="27" fillId="3" borderId="6" xfId="1" applyNumberFormat="1" applyFont="1" applyFill="1" applyBorder="1" applyAlignment="1" applyProtection="1">
      <alignment horizontal="center"/>
    </xf>
    <xf numFmtId="170" fontId="27" fillId="3" borderId="7" xfId="1" applyNumberFormat="1" applyFont="1" applyFill="1" applyBorder="1" applyAlignment="1" applyProtection="1">
      <alignment horizontal="center"/>
    </xf>
    <xf numFmtId="170" fontId="27" fillId="3" borderId="8" xfId="1" applyNumberFormat="1" applyFont="1" applyFill="1" applyBorder="1" applyAlignment="1" applyProtection="1">
      <alignment horizontal="center"/>
    </xf>
    <xf numFmtId="170" fontId="27" fillId="0" borderId="0" xfId="1" applyNumberFormat="1" applyFont="1" applyAlignment="1" applyProtection="1">
      <alignment horizontal="center"/>
    </xf>
    <xf numFmtId="170" fontId="27" fillId="0" borderId="0" xfId="1" quotePrefix="1" applyNumberFormat="1" applyFont="1" applyAlignment="1" applyProtection="1">
      <alignment horizontal="center"/>
    </xf>
    <xf numFmtId="0" fontId="31" fillId="0" borderId="3" xfId="0" applyFont="1" applyBorder="1" applyAlignment="1">
      <alignment horizontal="center" wrapText="1"/>
    </xf>
    <xf numFmtId="170" fontId="47" fillId="0" borderId="0" xfId="1" applyFont="1"/>
  </cellXfs>
  <cellStyles count="18">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omma 2" xfId="2"/>
    <cellStyle name="Normal" xfId="0" builtinId="0"/>
    <cellStyle name="Normal - Style1" xfId="12"/>
    <cellStyle name="Normal 10" xfId="13"/>
    <cellStyle name="Normal 13" xfId="14"/>
    <cellStyle name="Normal 2" xfId="1"/>
    <cellStyle name="Normal 3" xfId="15"/>
    <cellStyle name="Normal 4" xfId="16"/>
    <cellStyle name="Percent 2" xfId="3"/>
    <cellStyle name="Style 1"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ktmgmt.nexteraenergy.com/COMBCYC/PMG/performance/UNIT4PR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OXSF01\VOL1\USERS\UACGCAS\EXCEL\WORKBOOK\0396JV.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NF Expense 518"/>
      <sheetName val="TXSCHD Download"/>
      <sheetName val="A194"/>
      <sheetName val="INPUTS.XLS"/>
      <sheetName val="SUPERFUND"/>
      <sheetName val="Early Capacity Payments"/>
      <sheetName val="PCICS Accounts"/>
      <sheetName val="OBO DEF TAX"/>
      <sheetName val="Deferred Compensation"/>
      <sheetName val="Injuries &amp; Damages"/>
      <sheetName val="Nucl Decomm Fund Earn Gross Up"/>
      <sheetName val="TXFORCST.XLS"/>
      <sheetName val="Forecast"/>
      <sheetName val="NUCL.XLS"/>
      <sheetName val="Nucl Fuel Interest (Cap &amp; Exp)"/>
      <sheetName val="Analysis of 518"/>
      <sheetName val="TP Fuel Lease Chrg"/>
      <sheetName val="SL Fuel Lease Chrg"/>
      <sheetName val="TxDprTUp"/>
      <sheetName val="BKTXVAR.XLS"/>
      <sheetName val="UNBILREV.XLS"/>
      <sheetName val="Bad Debts"/>
      <sheetName val="OBO Income Taxes"/>
      <sheetName val="MX Entries"/>
      <sheetName val="AFUDC"/>
      <sheetName val="CLSREC.X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W60"/>
  <sheetViews>
    <sheetView showGridLines="0" tabSelected="1" zoomScaleNormal="100" workbookViewId="0">
      <selection sqref="A1:A2"/>
    </sheetView>
  </sheetViews>
  <sheetFormatPr defaultColWidth="9.109375" defaultRowHeight="12" x14ac:dyDescent="0.2"/>
  <cols>
    <col min="1" max="1" width="16" style="24" bestFit="1" customWidth="1"/>
    <col min="2" max="2" width="6.44140625" style="24" customWidth="1"/>
    <col min="3" max="5" width="11.109375" style="24" customWidth="1"/>
    <col min="6" max="6" width="6.44140625" style="24" customWidth="1"/>
    <col min="7" max="9" width="11.109375" style="24" customWidth="1"/>
    <col min="10" max="10" width="6.44140625" style="24" customWidth="1"/>
    <col min="11" max="13" width="11.44140625" style="24" customWidth="1"/>
    <col min="14" max="14" width="9.109375" style="24"/>
    <col min="15" max="18" width="9.109375" style="24" customWidth="1"/>
    <col min="19" max="16384" width="9.109375" style="24"/>
  </cols>
  <sheetData>
    <row r="1" spans="1:18" s="235" customFormat="1" x14ac:dyDescent="0.2">
      <c r="A1" s="235" t="s">
        <v>276</v>
      </c>
    </row>
    <row r="2" spans="1:18" s="235" customFormat="1" x14ac:dyDescent="0.2">
      <c r="A2" s="235" t="s">
        <v>277</v>
      </c>
    </row>
    <row r="3" spans="1:18" s="235" customFormat="1" x14ac:dyDescent="0.2"/>
    <row r="4" spans="1:18" ht="13.2" x14ac:dyDescent="0.25">
      <c r="A4" s="232" t="s">
        <v>183</v>
      </c>
      <c r="B4" s="232"/>
      <c r="C4" s="232"/>
      <c r="D4" s="232"/>
      <c r="E4" s="232"/>
      <c r="F4" s="232"/>
      <c r="G4" s="232"/>
      <c r="H4" s="232"/>
      <c r="I4" s="232"/>
      <c r="J4" s="232"/>
      <c r="K4" s="232"/>
      <c r="L4" s="232"/>
      <c r="M4" s="232"/>
    </row>
    <row r="5" spans="1:18" ht="13.2" x14ac:dyDescent="0.25">
      <c r="A5" s="232" t="s">
        <v>93</v>
      </c>
      <c r="B5" s="232"/>
      <c r="C5" s="232"/>
      <c r="D5" s="232"/>
      <c r="E5" s="232"/>
      <c r="F5" s="232"/>
      <c r="G5" s="232"/>
      <c r="H5" s="232"/>
      <c r="I5" s="232"/>
      <c r="J5" s="232"/>
      <c r="K5" s="232"/>
      <c r="L5" s="232"/>
      <c r="M5" s="232"/>
      <c r="P5" s="25" t="s">
        <v>94</v>
      </c>
      <c r="Q5" s="24">
        <v>19816</v>
      </c>
      <c r="R5" s="24" t="s">
        <v>90</v>
      </c>
    </row>
    <row r="6" spans="1:18" ht="13.2" x14ac:dyDescent="0.25">
      <c r="A6" s="232" t="s">
        <v>184</v>
      </c>
      <c r="B6" s="232"/>
      <c r="C6" s="232"/>
      <c r="D6" s="232"/>
      <c r="E6" s="232"/>
      <c r="F6" s="232"/>
      <c r="G6" s="232"/>
      <c r="H6" s="232"/>
      <c r="I6" s="232"/>
      <c r="J6" s="232"/>
      <c r="K6" s="232"/>
      <c r="L6" s="232"/>
      <c r="M6" s="232"/>
      <c r="Q6" s="24">
        <v>19817</v>
      </c>
      <c r="R6" s="24" t="s">
        <v>91</v>
      </c>
    </row>
    <row r="7" spans="1:18" ht="13.2" x14ac:dyDescent="0.25">
      <c r="A7" s="233" t="s">
        <v>101</v>
      </c>
      <c r="B7" s="233"/>
      <c r="C7" s="233"/>
      <c r="D7" s="233"/>
      <c r="E7" s="233"/>
      <c r="F7" s="233"/>
      <c r="G7" s="233"/>
      <c r="H7" s="233"/>
      <c r="I7" s="233"/>
      <c r="J7" s="233"/>
      <c r="K7" s="233"/>
      <c r="L7" s="233"/>
      <c r="M7" s="233"/>
      <c r="Q7" s="24">
        <v>19818</v>
      </c>
      <c r="R7" s="24" t="s">
        <v>92</v>
      </c>
    </row>
    <row r="8" spans="1:18" ht="13.2" x14ac:dyDescent="0.25">
      <c r="A8" s="27"/>
      <c r="B8" s="27"/>
      <c r="C8" s="27"/>
      <c r="D8" s="27"/>
      <c r="E8" s="27"/>
      <c r="F8" s="27"/>
      <c r="G8" s="27"/>
      <c r="H8" s="27"/>
      <c r="I8" s="27"/>
      <c r="J8" s="27"/>
      <c r="K8" s="27"/>
      <c r="L8" s="27"/>
      <c r="M8" s="27"/>
    </row>
    <row r="9" spans="1:18" ht="13.2" x14ac:dyDescent="0.25">
      <c r="A9" s="26"/>
      <c r="B9" s="26"/>
      <c r="C9" s="27"/>
      <c r="F9" s="26"/>
    </row>
    <row r="10" spans="1:18" ht="13.8" thickBot="1" x14ac:dyDescent="0.3">
      <c r="A10" s="28"/>
      <c r="B10" s="28"/>
      <c r="C10" s="29"/>
      <c r="D10" s="29"/>
      <c r="E10" s="29"/>
      <c r="F10" s="28"/>
      <c r="G10" s="29"/>
    </row>
    <row r="11" spans="1:18" ht="13.8" thickBot="1" x14ac:dyDescent="0.3">
      <c r="A11" s="28"/>
      <c r="B11" s="28"/>
      <c r="C11" s="229" t="s">
        <v>74</v>
      </c>
      <c r="D11" s="230"/>
      <c r="E11" s="231"/>
      <c r="F11" s="28"/>
      <c r="G11" s="229" t="s">
        <v>95</v>
      </c>
      <c r="H11" s="230"/>
      <c r="I11" s="231"/>
      <c r="K11" s="229" t="s">
        <v>96</v>
      </c>
      <c r="L11" s="230"/>
      <c r="M11" s="231"/>
    </row>
    <row r="12" spans="1:18" ht="13.8" thickBot="1" x14ac:dyDescent="0.3">
      <c r="A12" s="167" t="s">
        <v>73</v>
      </c>
      <c r="B12" s="29"/>
      <c r="C12" s="164">
        <v>2014</v>
      </c>
      <c r="D12" s="165">
        <v>2013</v>
      </c>
      <c r="E12" s="166" t="s">
        <v>97</v>
      </c>
      <c r="F12" s="29"/>
      <c r="G12" s="164">
        <f>+C12</f>
        <v>2014</v>
      </c>
      <c r="H12" s="165">
        <f>+D12</f>
        <v>2013</v>
      </c>
      <c r="I12" s="166" t="s">
        <v>97</v>
      </c>
      <c r="K12" s="164">
        <f>+C12</f>
        <v>2014</v>
      </c>
      <c r="L12" s="165">
        <f>+D12</f>
        <v>2013</v>
      </c>
      <c r="M12" s="166" t="s">
        <v>97</v>
      </c>
    </row>
    <row r="13" spans="1:18" ht="13.2" x14ac:dyDescent="0.25">
      <c r="A13" s="30"/>
      <c r="B13" s="30"/>
      <c r="C13" s="30"/>
      <c r="D13" s="30"/>
      <c r="E13" s="30"/>
      <c r="F13" s="30"/>
      <c r="G13" s="30"/>
      <c r="K13" s="30"/>
    </row>
    <row r="14" spans="1:18" ht="13.2" x14ac:dyDescent="0.25">
      <c r="A14" s="31" t="s">
        <v>75</v>
      </c>
      <c r="B14" s="31"/>
      <c r="C14" s="32">
        <f>+'Data Summary'!D6</f>
        <v>1.0182461500731781</v>
      </c>
      <c r="D14" s="32">
        <v>1.0192338333802162</v>
      </c>
      <c r="E14" s="32">
        <f>+C14-D14</f>
        <v>-9.8768330703813412E-4</v>
      </c>
      <c r="F14" s="31"/>
      <c r="G14" s="33">
        <f>+'Data Summary'!E6</f>
        <v>1.0230839872669728</v>
      </c>
      <c r="H14" s="33">
        <v>1.0233992233624385</v>
      </c>
      <c r="I14" s="32">
        <f>+G14-H14</f>
        <v>-3.1523609546568743E-4</v>
      </c>
      <c r="K14" s="33">
        <f>+'Dist GNCP - for ECRC'!G14</f>
        <v>1.026604726402407</v>
      </c>
      <c r="L14" s="32">
        <v>1.027508711950923</v>
      </c>
      <c r="M14" s="32">
        <f>+K14-L14</f>
        <v>-9.0398554851600643E-4</v>
      </c>
    </row>
    <row r="15" spans="1:18" ht="13.2" x14ac:dyDescent="0.25">
      <c r="A15" s="30"/>
      <c r="B15" s="30"/>
      <c r="C15" s="32"/>
      <c r="D15" s="32"/>
      <c r="E15" s="32"/>
      <c r="F15" s="30"/>
      <c r="G15" s="33"/>
      <c r="H15" s="33"/>
      <c r="I15" s="32"/>
      <c r="K15" s="33"/>
      <c r="L15" s="32"/>
      <c r="M15" s="32"/>
    </row>
    <row r="16" spans="1:18" ht="13.2" x14ac:dyDescent="0.25">
      <c r="A16" s="31" t="s">
        <v>76</v>
      </c>
      <c r="B16" s="31"/>
      <c r="C16" s="32">
        <f>+'Data Summary'!D8</f>
        <v>1.0286129790801486</v>
      </c>
      <c r="D16" s="32">
        <v>1.0298106185058049</v>
      </c>
      <c r="E16" s="32">
        <f>+C16-D16</f>
        <v>-1.1976394256563161E-3</v>
      </c>
      <c r="F16" s="31"/>
      <c r="G16" s="33">
        <f>+'Data Summary'!E8</f>
        <v>1.036779223962337</v>
      </c>
      <c r="H16" s="33">
        <v>1.0370021604423327</v>
      </c>
      <c r="I16" s="32">
        <f>+G16-H16</f>
        <v>-2.2293647999571675E-4</v>
      </c>
      <c r="K16" s="33">
        <f>+'Dist GNCP - for ECRC'!G26</f>
        <v>1.0428721372396681</v>
      </c>
      <c r="L16" s="32">
        <v>1.043704403855831</v>
      </c>
      <c r="M16" s="32">
        <f>+K16-L16</f>
        <v>-8.322666161628689E-4</v>
      </c>
    </row>
    <row r="17" spans="1:13" ht="13.2" x14ac:dyDescent="0.25">
      <c r="A17" s="30"/>
      <c r="B17" s="30"/>
      <c r="C17" s="32"/>
      <c r="D17" s="32"/>
      <c r="E17" s="32"/>
      <c r="F17" s="30"/>
      <c r="G17" s="33"/>
      <c r="H17" s="33"/>
      <c r="I17" s="32"/>
      <c r="K17" s="33"/>
      <c r="L17" s="32"/>
      <c r="M17" s="32"/>
    </row>
    <row r="18" spans="1:13" ht="13.2" x14ac:dyDescent="0.25">
      <c r="A18" s="31" t="s">
        <v>77</v>
      </c>
      <c r="B18" s="31"/>
      <c r="C18" s="32">
        <f>+'Data Summary'!D10</f>
        <v>1.0535746115460856</v>
      </c>
      <c r="D18" s="32">
        <v>1.0600589445060109</v>
      </c>
      <c r="E18" s="32">
        <f>+C18-D18</f>
        <v>-6.484332959925343E-3</v>
      </c>
      <c r="F18" s="31"/>
      <c r="G18" s="33">
        <f>+'Data Summary'!E10</f>
        <v>1.0699729449745548</v>
      </c>
      <c r="H18" s="33">
        <v>1.0761321704917772</v>
      </c>
      <c r="I18" s="32">
        <f>+G18-H18</f>
        <v>-6.1592255172224775E-3</v>
      </c>
      <c r="K18" s="33">
        <f>+'Dist GNCP - for ECRC'!G40</f>
        <v>1.0824300245152902</v>
      </c>
      <c r="L18" s="32">
        <v>1.0904541272253094</v>
      </c>
      <c r="M18" s="32">
        <f>+K18-L18</f>
        <v>-8.0241027100191875E-3</v>
      </c>
    </row>
    <row r="20" spans="1:13" x14ac:dyDescent="0.2">
      <c r="G20" s="34"/>
      <c r="H20" s="34"/>
      <c r="I20" s="34"/>
      <c r="J20" s="34"/>
      <c r="K20" s="34"/>
      <c r="L20" s="34"/>
    </row>
    <row r="21" spans="1:13" x14ac:dyDescent="0.2">
      <c r="I21" s="35"/>
    </row>
    <row r="23" spans="1:13" ht="13.8" thickBot="1" x14ac:dyDescent="0.3">
      <c r="A23" s="28"/>
      <c r="B23" s="28"/>
      <c r="C23" s="29"/>
      <c r="D23" s="29"/>
      <c r="E23" s="29"/>
      <c r="F23" s="28"/>
      <c r="G23" s="29"/>
    </row>
    <row r="24" spans="1:13" ht="13.8" thickBot="1" x14ac:dyDescent="0.3">
      <c r="A24" s="28"/>
      <c r="B24" s="28"/>
      <c r="C24" s="229" t="s">
        <v>98</v>
      </c>
      <c r="D24" s="230"/>
      <c r="E24" s="231"/>
      <c r="F24" s="28"/>
      <c r="G24" s="229" t="s">
        <v>99</v>
      </c>
      <c r="H24" s="230"/>
      <c r="I24" s="231"/>
      <c r="K24" s="229" t="s">
        <v>100</v>
      </c>
      <c r="L24" s="230"/>
      <c r="M24" s="231"/>
    </row>
    <row r="25" spans="1:13" ht="13.8" thickBot="1" x14ac:dyDescent="0.3">
      <c r="A25" s="167" t="s">
        <v>73</v>
      </c>
      <c r="B25" s="29"/>
      <c r="C25" s="164">
        <f>+C12</f>
        <v>2014</v>
      </c>
      <c r="D25" s="165">
        <f>+D12</f>
        <v>2013</v>
      </c>
      <c r="E25" s="166" t="s">
        <v>97</v>
      </c>
      <c r="F25" s="29"/>
      <c r="G25" s="164">
        <f>+C12</f>
        <v>2014</v>
      </c>
      <c r="H25" s="165">
        <f>+D12</f>
        <v>2013</v>
      </c>
      <c r="I25" s="166" t="s">
        <v>97</v>
      </c>
      <c r="K25" s="164">
        <f>+C12</f>
        <v>2014</v>
      </c>
      <c r="L25" s="165">
        <f>+D12</f>
        <v>2013</v>
      </c>
      <c r="M25" s="166" t="s">
        <v>97</v>
      </c>
    </row>
    <row r="26" spans="1:13" ht="13.2" x14ac:dyDescent="0.25">
      <c r="A26" s="30"/>
      <c r="B26" s="30"/>
      <c r="C26" s="30"/>
      <c r="D26" s="30"/>
      <c r="E26" s="30"/>
      <c r="F26" s="30"/>
      <c r="G26" s="30"/>
      <c r="K26" s="30"/>
    </row>
    <row r="27" spans="1:13" ht="13.2" x14ac:dyDescent="0.25">
      <c r="A27" s="31" t="s">
        <v>75</v>
      </c>
      <c r="B27" s="31"/>
      <c r="C27" s="36">
        <f>+(C14-1)/C14</f>
        <v>1.791919377438039E-2</v>
      </c>
      <c r="D27" s="36">
        <f>+(D14-1)/D14</f>
        <v>1.8870874131433207E-2</v>
      </c>
      <c r="E27" s="36">
        <f>+C27-D27</f>
        <v>-9.5168035705281775E-4</v>
      </c>
      <c r="F27" s="31"/>
      <c r="G27" s="36">
        <f>+(G14-1)/G14</f>
        <v>2.2563140029821481E-2</v>
      </c>
      <c r="H27" s="36">
        <f>+(H14-1)/H14</f>
        <v>2.2864218408881497E-2</v>
      </c>
      <c r="I27" s="36">
        <f>+G27-H27</f>
        <v>-3.0107837906001578E-4</v>
      </c>
      <c r="K27" s="36">
        <f>+(K14-1)/K14</f>
        <v>2.5915258052278324E-2</v>
      </c>
      <c r="L27" s="36">
        <f>+(L14-1)/L14</f>
        <v>2.6772242055926113E-2</v>
      </c>
      <c r="M27" s="36">
        <f>+K27-L27</f>
        <v>-8.5698400364778854E-4</v>
      </c>
    </row>
    <row r="28" spans="1:13" ht="13.2" x14ac:dyDescent="0.25">
      <c r="A28" s="30"/>
      <c r="B28" s="30"/>
      <c r="C28" s="32"/>
      <c r="D28" s="32"/>
      <c r="E28" s="32"/>
      <c r="F28" s="30"/>
      <c r="G28" s="32"/>
      <c r="H28" s="32"/>
      <c r="I28" s="32"/>
      <c r="K28" s="32"/>
      <c r="L28" s="32"/>
      <c r="M28" s="32"/>
    </row>
    <row r="29" spans="1:13" ht="13.2" x14ac:dyDescent="0.25">
      <c r="A29" s="31" t="s">
        <v>76</v>
      </c>
      <c r="B29" s="31"/>
      <c r="C29" s="36">
        <f>+(C16-1)/C16</f>
        <v>2.7817050399010272E-2</v>
      </c>
      <c r="D29" s="36">
        <f>+(D16-1)/D16</f>
        <v>2.8947670542626931E-2</v>
      </c>
      <c r="E29" s="36">
        <f>+C29-D29</f>
        <v>-1.1306201436166591E-3</v>
      </c>
      <c r="F29" s="31"/>
      <c r="G29" s="36">
        <f>+(G16-1)/G16</f>
        <v>3.5474499403812407E-2</v>
      </c>
      <c r="H29" s="36">
        <f>+(H16-1)/H16</f>
        <v>3.568185472877846E-2</v>
      </c>
      <c r="I29" s="36">
        <f>+G29-H29</f>
        <v>-2.0735532496605341E-4</v>
      </c>
      <c r="K29" s="36">
        <f>+(K16-1)/K16</f>
        <v>4.1109677503844769E-2</v>
      </c>
      <c r="L29" s="36">
        <f>+(L16-1)/L16</f>
        <v>4.1874312012453618E-2</v>
      </c>
      <c r="M29" s="36">
        <f>+K29-L29</f>
        <v>-7.6463450860884963E-4</v>
      </c>
    </row>
    <row r="30" spans="1:13" ht="13.2" x14ac:dyDescent="0.25">
      <c r="A30" s="30"/>
      <c r="B30" s="30"/>
      <c r="C30" s="37"/>
      <c r="D30" s="32"/>
      <c r="E30" s="32"/>
      <c r="F30" s="30"/>
      <c r="G30" s="37"/>
      <c r="H30" s="32"/>
      <c r="I30" s="32"/>
      <c r="K30" s="37"/>
      <c r="L30" s="32"/>
      <c r="M30" s="32"/>
    </row>
    <row r="31" spans="1:13" ht="13.2" x14ac:dyDescent="0.25">
      <c r="A31" s="31" t="s">
        <v>77</v>
      </c>
      <c r="B31" s="31"/>
      <c r="C31" s="36">
        <f>+(C18-1)/C18</f>
        <v>5.0850325130240757E-2</v>
      </c>
      <c r="D31" s="36">
        <f>+(D18-1)/D18</f>
        <v>5.6656231068356738E-2</v>
      </c>
      <c r="E31" s="36">
        <f>+C31-D31</f>
        <v>-5.8059059381159808E-3</v>
      </c>
      <c r="F31" s="31"/>
      <c r="G31" s="36">
        <f>+(G18-1)/G18</f>
        <v>6.5396929243121002E-2</v>
      </c>
      <c r="H31" s="36">
        <f>+(H18-1)/H18</f>
        <v>7.0746115188607267E-2</v>
      </c>
      <c r="I31" s="36">
        <f>+G31-H31</f>
        <v>-5.349185945486265E-3</v>
      </c>
      <c r="K31" s="36">
        <f>+(K18-1)/K18</f>
        <v>7.615275135425241E-2</v>
      </c>
      <c r="L31" s="36">
        <f>+(L18-1)/L18</f>
        <v>8.2950877957124566E-2</v>
      </c>
      <c r="M31" s="36">
        <f>+K31-L31</f>
        <v>-6.7981266028721565E-3</v>
      </c>
    </row>
    <row r="34" spans="1:23" ht="13.2" x14ac:dyDescent="0.25">
      <c r="A34" s="38"/>
    </row>
    <row r="35" spans="1:23" ht="13.2" x14ac:dyDescent="0.25">
      <c r="A35" s="30"/>
      <c r="B35" s="30"/>
      <c r="C35" s="30"/>
      <c r="D35" s="30"/>
      <c r="E35" s="30"/>
      <c r="F35" s="30"/>
      <c r="G35" s="30"/>
      <c r="H35" s="30"/>
      <c r="I35" s="30"/>
      <c r="J35" s="30"/>
      <c r="K35" s="30"/>
      <c r="L35" s="30"/>
      <c r="M35" s="30"/>
      <c r="N35" s="30"/>
      <c r="O35" s="30"/>
      <c r="P35" s="30"/>
      <c r="Q35" s="30"/>
      <c r="R35" s="30"/>
      <c r="S35" s="30"/>
      <c r="T35" s="30"/>
      <c r="U35" s="30"/>
      <c r="V35" s="30"/>
      <c r="W35" s="30"/>
    </row>
    <row r="36" spans="1:23" ht="13.2" x14ac:dyDescent="0.25">
      <c r="A36" s="30"/>
      <c r="B36" s="30"/>
      <c r="C36" s="30"/>
      <c r="D36" s="30"/>
      <c r="E36" s="30"/>
      <c r="F36" s="30"/>
      <c r="G36" s="30"/>
      <c r="H36" s="30"/>
      <c r="I36" s="30"/>
      <c r="J36" s="30"/>
      <c r="K36" s="30"/>
      <c r="L36" s="30"/>
      <c r="M36" s="30"/>
      <c r="N36" s="30"/>
      <c r="O36" s="30"/>
      <c r="P36" s="30"/>
      <c r="Q36" s="30"/>
      <c r="R36" s="30"/>
      <c r="S36" s="30"/>
      <c r="T36" s="30"/>
      <c r="U36" s="30"/>
      <c r="V36" s="30"/>
      <c r="W36" s="30"/>
    </row>
    <row r="37" spans="1:23" ht="13.2" x14ac:dyDescent="0.25">
      <c r="A37" s="30"/>
      <c r="B37" s="30"/>
      <c r="C37" s="39"/>
      <c r="D37" s="30"/>
      <c r="E37" s="30"/>
      <c r="F37" s="30"/>
      <c r="G37" s="39"/>
      <c r="H37" s="30"/>
      <c r="I37" s="30"/>
      <c r="J37" s="30"/>
      <c r="K37" s="30"/>
      <c r="L37" s="30"/>
      <c r="M37" s="30"/>
      <c r="N37" s="30"/>
      <c r="O37" s="30"/>
      <c r="P37" s="30"/>
      <c r="Q37" s="30"/>
      <c r="R37" s="30"/>
      <c r="S37" s="30"/>
      <c r="T37" s="30"/>
      <c r="U37" s="30"/>
      <c r="V37" s="30"/>
      <c r="W37" s="30"/>
    </row>
    <row r="38" spans="1:23" ht="13.2" x14ac:dyDescent="0.25">
      <c r="A38" s="30"/>
      <c r="B38" s="30"/>
      <c r="C38" s="39"/>
      <c r="D38" s="30"/>
      <c r="E38" s="30"/>
      <c r="F38" s="30"/>
      <c r="G38" s="39"/>
      <c r="H38" s="30"/>
      <c r="I38" s="30"/>
      <c r="J38" s="30"/>
      <c r="K38" s="30"/>
      <c r="L38" s="30"/>
      <c r="M38" s="30"/>
      <c r="N38" s="30"/>
      <c r="O38" s="30"/>
      <c r="P38" s="30"/>
      <c r="Q38" s="30"/>
      <c r="R38" s="30"/>
      <c r="S38" s="30"/>
      <c r="T38" s="30"/>
      <c r="U38" s="30"/>
      <c r="V38" s="30"/>
      <c r="W38" s="30"/>
    </row>
    <row r="39" spans="1:23" ht="13.2" x14ac:dyDescent="0.25">
      <c r="A39" s="30"/>
      <c r="B39" s="30"/>
      <c r="C39" s="39"/>
      <c r="D39" s="30"/>
      <c r="E39" s="30"/>
      <c r="F39" s="30"/>
      <c r="G39" s="39"/>
      <c r="H39" s="30"/>
      <c r="I39" s="30"/>
      <c r="J39" s="30"/>
      <c r="K39" s="30"/>
      <c r="L39" s="30"/>
      <c r="M39" s="30"/>
      <c r="N39" s="30"/>
      <c r="O39" s="30"/>
      <c r="P39" s="30"/>
      <c r="Q39" s="30"/>
      <c r="R39" s="30"/>
      <c r="S39" s="30"/>
      <c r="T39" s="30"/>
      <c r="U39" s="30"/>
      <c r="V39" s="30"/>
      <c r="W39" s="30"/>
    </row>
    <row r="40" spans="1:23" ht="13.2" x14ac:dyDescent="0.25">
      <c r="A40" s="30"/>
      <c r="B40" s="30"/>
      <c r="C40" s="30"/>
      <c r="D40" s="30"/>
      <c r="E40" s="30"/>
      <c r="F40" s="30"/>
      <c r="G40" s="30"/>
      <c r="H40" s="30"/>
      <c r="I40" s="30"/>
      <c r="J40" s="30"/>
      <c r="K40" s="30"/>
      <c r="L40" s="30"/>
      <c r="M40" s="30"/>
      <c r="N40" s="30"/>
      <c r="O40" s="30"/>
      <c r="P40" s="30"/>
      <c r="Q40" s="30"/>
      <c r="R40" s="30"/>
      <c r="S40" s="30"/>
      <c r="T40" s="30"/>
      <c r="U40" s="30"/>
      <c r="V40" s="30"/>
      <c r="W40" s="30"/>
    </row>
    <row r="41" spans="1:23" ht="13.2" x14ac:dyDescent="0.25">
      <c r="A41" s="30"/>
      <c r="B41" s="30"/>
      <c r="C41" s="39"/>
      <c r="D41" s="30"/>
      <c r="E41" s="30"/>
      <c r="F41" s="30"/>
      <c r="G41" s="39"/>
      <c r="H41" s="30"/>
      <c r="I41" s="30"/>
      <c r="J41" s="30"/>
      <c r="K41" s="30"/>
      <c r="L41" s="30"/>
      <c r="M41" s="30"/>
      <c r="N41" s="30"/>
      <c r="O41" s="30"/>
      <c r="P41" s="30"/>
      <c r="Q41" s="30"/>
      <c r="R41" s="30"/>
      <c r="S41" s="30"/>
      <c r="T41" s="30"/>
      <c r="U41" s="30"/>
      <c r="V41" s="30"/>
      <c r="W41" s="30"/>
    </row>
    <row r="42" spans="1:23" ht="13.2" x14ac:dyDescent="0.25">
      <c r="A42" s="30"/>
      <c r="B42" s="30"/>
      <c r="C42" s="30"/>
      <c r="D42" s="30"/>
      <c r="E42" s="30"/>
      <c r="F42" s="30"/>
      <c r="G42" s="30"/>
      <c r="H42" s="30"/>
      <c r="I42" s="30"/>
      <c r="J42" s="30"/>
      <c r="K42" s="30"/>
      <c r="L42" s="30"/>
      <c r="M42" s="30"/>
      <c r="N42" s="30"/>
      <c r="O42" s="30"/>
      <c r="P42" s="30"/>
      <c r="Q42" s="30"/>
      <c r="R42" s="30"/>
      <c r="S42" s="30"/>
      <c r="T42" s="30"/>
      <c r="U42" s="30"/>
      <c r="V42" s="30"/>
      <c r="W42" s="30"/>
    </row>
    <row r="43" spans="1:23" ht="13.2" x14ac:dyDescent="0.25">
      <c r="A43" s="30"/>
      <c r="B43" s="30"/>
      <c r="C43" s="30"/>
      <c r="D43" s="30"/>
      <c r="E43" s="30"/>
      <c r="F43" s="30"/>
      <c r="G43" s="30"/>
      <c r="H43" s="30"/>
      <c r="I43" s="30"/>
      <c r="J43" s="30"/>
      <c r="K43" s="30"/>
      <c r="L43" s="30"/>
      <c r="M43" s="30"/>
      <c r="N43" s="30"/>
      <c r="O43" s="30"/>
      <c r="P43" s="30"/>
      <c r="Q43" s="30"/>
      <c r="R43" s="30"/>
      <c r="S43" s="30"/>
      <c r="T43" s="30"/>
      <c r="U43" s="30"/>
      <c r="V43" s="30"/>
      <c r="W43" s="30"/>
    </row>
    <row r="44" spans="1:23" ht="13.2" x14ac:dyDescent="0.25">
      <c r="A44" s="30"/>
      <c r="B44" s="30"/>
      <c r="C44" s="30"/>
      <c r="D44" s="30"/>
      <c r="E44" s="30"/>
      <c r="F44" s="30"/>
      <c r="G44" s="30"/>
      <c r="H44" s="30"/>
      <c r="I44" s="30"/>
      <c r="J44" s="30"/>
      <c r="K44" s="30"/>
      <c r="L44" s="30"/>
      <c r="M44" s="30"/>
      <c r="N44" s="30"/>
      <c r="O44" s="30"/>
      <c r="P44" s="30"/>
      <c r="Q44" s="30"/>
      <c r="R44" s="30"/>
      <c r="S44" s="30"/>
      <c r="T44" s="30"/>
      <c r="U44" s="30"/>
      <c r="V44" s="30"/>
      <c r="W44" s="30"/>
    </row>
    <row r="45" spans="1:23" ht="13.2" x14ac:dyDescent="0.25">
      <c r="A45" s="30"/>
      <c r="B45" s="30"/>
      <c r="C45" s="30"/>
      <c r="D45" s="30"/>
      <c r="E45" s="30"/>
      <c r="F45" s="30"/>
      <c r="G45" s="30"/>
      <c r="H45" s="30"/>
      <c r="I45" s="30"/>
      <c r="J45" s="30"/>
      <c r="K45" s="30"/>
      <c r="L45" s="30"/>
      <c r="M45" s="30"/>
      <c r="N45" s="30"/>
      <c r="O45" s="30"/>
      <c r="P45" s="30"/>
      <c r="Q45" s="30"/>
      <c r="R45" s="30"/>
      <c r="S45" s="30"/>
      <c r="T45" s="30"/>
      <c r="U45" s="30"/>
      <c r="V45" s="30"/>
      <c r="W45" s="30"/>
    </row>
    <row r="46" spans="1:23" ht="13.2" x14ac:dyDescent="0.25">
      <c r="A46" s="30"/>
      <c r="B46" s="30"/>
      <c r="C46" s="30"/>
      <c r="D46" s="30"/>
      <c r="E46" s="30"/>
      <c r="F46" s="30"/>
      <c r="G46" s="30"/>
      <c r="H46" s="30"/>
      <c r="I46" s="30"/>
      <c r="J46" s="30"/>
      <c r="K46" s="30"/>
      <c r="L46" s="30"/>
      <c r="M46" s="30"/>
      <c r="N46" s="30"/>
      <c r="O46" s="30"/>
      <c r="P46" s="30"/>
      <c r="Q46" s="30"/>
      <c r="R46" s="30"/>
      <c r="S46" s="30"/>
      <c r="T46" s="30"/>
      <c r="U46" s="30"/>
      <c r="V46" s="30"/>
      <c r="W46" s="30"/>
    </row>
    <row r="47" spans="1:23" ht="13.2" x14ac:dyDescent="0.25">
      <c r="A47" s="30"/>
      <c r="B47" s="30"/>
      <c r="C47" s="30"/>
      <c r="D47" s="30"/>
      <c r="E47" s="30"/>
      <c r="F47" s="30"/>
      <c r="G47" s="30"/>
      <c r="H47" s="30"/>
      <c r="I47" s="30"/>
      <c r="J47" s="30"/>
      <c r="K47" s="30"/>
      <c r="L47" s="30"/>
      <c r="M47" s="30"/>
      <c r="N47" s="30"/>
      <c r="O47" s="30"/>
      <c r="P47" s="30"/>
      <c r="Q47" s="30"/>
      <c r="R47" s="30"/>
      <c r="S47" s="30"/>
      <c r="T47" s="30"/>
      <c r="U47" s="30"/>
      <c r="V47" s="30"/>
      <c r="W47" s="30"/>
    </row>
    <row r="48" spans="1:23" ht="13.2" x14ac:dyDescent="0.25">
      <c r="A48" s="30"/>
      <c r="B48" s="30"/>
      <c r="C48" s="30"/>
      <c r="D48" s="30"/>
      <c r="E48" s="30"/>
      <c r="F48" s="30"/>
      <c r="G48" s="30"/>
      <c r="H48" s="30"/>
      <c r="I48" s="30"/>
      <c r="J48" s="30"/>
      <c r="K48" s="30"/>
      <c r="L48" s="30"/>
      <c r="M48" s="30"/>
      <c r="N48" s="30"/>
      <c r="O48" s="30"/>
      <c r="P48" s="30"/>
      <c r="Q48" s="30"/>
      <c r="R48" s="30"/>
      <c r="S48" s="30"/>
      <c r="T48" s="30"/>
      <c r="U48" s="30"/>
      <c r="V48" s="30"/>
      <c r="W48" s="30"/>
    </row>
    <row r="49" spans="1:23" ht="13.2" x14ac:dyDescent="0.25">
      <c r="A49" s="30"/>
      <c r="B49" s="30"/>
      <c r="C49" s="30"/>
      <c r="D49" s="30"/>
      <c r="E49" s="30"/>
      <c r="F49" s="30"/>
      <c r="G49" s="30"/>
      <c r="H49" s="30"/>
      <c r="I49" s="30"/>
      <c r="J49" s="30"/>
      <c r="K49" s="30"/>
      <c r="L49" s="30"/>
      <c r="M49" s="30"/>
      <c r="N49" s="30"/>
      <c r="O49" s="30"/>
      <c r="P49" s="30"/>
      <c r="Q49" s="30"/>
      <c r="R49" s="30"/>
      <c r="S49" s="30"/>
      <c r="T49" s="30"/>
      <c r="U49" s="30"/>
      <c r="V49" s="30"/>
      <c r="W49" s="30"/>
    </row>
    <row r="50" spans="1:23" ht="13.2" x14ac:dyDescent="0.25">
      <c r="A50" s="30"/>
      <c r="B50" s="30"/>
      <c r="C50" s="30"/>
      <c r="D50" s="30"/>
      <c r="E50" s="30"/>
      <c r="F50" s="30"/>
      <c r="G50" s="30"/>
      <c r="H50" s="30"/>
      <c r="I50" s="30"/>
      <c r="J50" s="30"/>
      <c r="K50" s="30"/>
      <c r="L50" s="30"/>
      <c r="M50" s="30"/>
      <c r="N50" s="30"/>
      <c r="O50" s="30"/>
      <c r="P50" s="30"/>
      <c r="Q50" s="30"/>
      <c r="R50" s="30"/>
      <c r="S50" s="30"/>
      <c r="T50" s="30"/>
      <c r="U50" s="30"/>
      <c r="V50" s="30"/>
      <c r="W50" s="30"/>
    </row>
    <row r="51" spans="1:23" ht="13.2" x14ac:dyDescent="0.25">
      <c r="A51" s="30"/>
      <c r="B51" s="30"/>
      <c r="C51" s="30"/>
      <c r="D51" s="30"/>
      <c r="E51" s="30"/>
      <c r="F51" s="30"/>
      <c r="G51" s="30"/>
      <c r="H51" s="30"/>
      <c r="I51" s="30"/>
      <c r="J51" s="30"/>
      <c r="K51" s="30"/>
      <c r="L51" s="30"/>
      <c r="M51" s="30"/>
      <c r="N51" s="30"/>
      <c r="O51" s="30"/>
      <c r="P51" s="30"/>
      <c r="Q51" s="30"/>
      <c r="R51" s="30"/>
      <c r="S51" s="30"/>
      <c r="T51" s="30"/>
      <c r="U51" s="30"/>
      <c r="V51" s="30"/>
      <c r="W51" s="30"/>
    </row>
    <row r="52" spans="1:23" ht="13.2" x14ac:dyDescent="0.25">
      <c r="A52" s="30"/>
      <c r="B52" s="30"/>
      <c r="C52" s="30"/>
      <c r="D52" s="30"/>
      <c r="E52" s="30"/>
      <c r="F52" s="30"/>
      <c r="G52" s="30"/>
      <c r="H52" s="30"/>
      <c r="I52" s="30"/>
      <c r="J52" s="30"/>
      <c r="K52" s="30"/>
      <c r="L52" s="30"/>
      <c r="M52" s="30"/>
      <c r="N52" s="30"/>
      <c r="O52" s="30"/>
      <c r="P52" s="30"/>
      <c r="Q52" s="30"/>
      <c r="R52" s="30"/>
      <c r="S52" s="30"/>
      <c r="T52" s="30"/>
      <c r="U52" s="30"/>
      <c r="V52" s="30"/>
      <c r="W52" s="30"/>
    </row>
    <row r="53" spans="1:23" ht="13.2" x14ac:dyDescent="0.25">
      <c r="A53" s="30"/>
      <c r="B53" s="30"/>
      <c r="C53" s="30"/>
      <c r="D53" s="30"/>
      <c r="E53" s="30"/>
      <c r="F53" s="30"/>
      <c r="G53" s="30"/>
      <c r="H53" s="30"/>
      <c r="I53" s="30"/>
      <c r="J53" s="30"/>
      <c r="K53" s="30"/>
      <c r="L53" s="30"/>
      <c r="M53" s="30"/>
      <c r="N53" s="30"/>
      <c r="O53" s="30"/>
      <c r="P53" s="30"/>
      <c r="Q53" s="30"/>
      <c r="R53" s="30"/>
      <c r="S53" s="30"/>
      <c r="T53" s="30"/>
      <c r="U53" s="30"/>
      <c r="V53" s="30"/>
      <c r="W53" s="30"/>
    </row>
    <row r="54" spans="1:23" ht="13.2" x14ac:dyDescent="0.25">
      <c r="A54" s="30"/>
      <c r="B54" s="30"/>
      <c r="C54" s="30"/>
      <c r="D54" s="30"/>
      <c r="E54" s="30"/>
      <c r="F54" s="30"/>
      <c r="G54" s="30"/>
      <c r="H54" s="30"/>
      <c r="I54" s="30"/>
      <c r="J54" s="30"/>
      <c r="K54" s="30"/>
      <c r="L54" s="30"/>
      <c r="M54" s="30"/>
      <c r="N54" s="30"/>
      <c r="O54" s="30"/>
      <c r="P54" s="30"/>
      <c r="Q54" s="30"/>
      <c r="R54" s="30"/>
      <c r="S54" s="30"/>
      <c r="T54" s="30"/>
      <c r="U54" s="30"/>
      <c r="V54" s="30"/>
      <c r="W54" s="30"/>
    </row>
    <row r="55" spans="1:23" ht="13.2" x14ac:dyDescent="0.25">
      <c r="A55" s="30"/>
      <c r="B55" s="30"/>
      <c r="C55" s="30"/>
      <c r="D55" s="30"/>
      <c r="E55" s="30"/>
      <c r="F55" s="30"/>
      <c r="G55" s="30"/>
      <c r="H55" s="30"/>
      <c r="I55" s="30"/>
      <c r="J55" s="30"/>
      <c r="K55" s="30"/>
      <c r="L55" s="30"/>
      <c r="M55" s="30"/>
      <c r="N55" s="30"/>
      <c r="O55" s="30"/>
      <c r="P55" s="30"/>
      <c r="Q55" s="30"/>
      <c r="R55" s="30"/>
      <c r="S55" s="30"/>
      <c r="T55" s="30"/>
      <c r="U55" s="30"/>
      <c r="V55" s="30"/>
      <c r="W55" s="30"/>
    </row>
    <row r="56" spans="1:23" ht="13.2" x14ac:dyDescent="0.25">
      <c r="A56" s="30"/>
      <c r="B56" s="30"/>
      <c r="C56" s="30"/>
      <c r="D56" s="30"/>
      <c r="E56" s="30"/>
      <c r="F56" s="30"/>
      <c r="G56" s="30"/>
      <c r="H56" s="30"/>
      <c r="I56" s="30"/>
      <c r="J56" s="30"/>
      <c r="K56" s="30"/>
      <c r="L56" s="30"/>
      <c r="M56" s="30"/>
      <c r="N56" s="30"/>
      <c r="O56" s="30"/>
      <c r="P56" s="30"/>
      <c r="Q56" s="30"/>
      <c r="R56" s="30"/>
      <c r="S56" s="30"/>
      <c r="T56" s="30"/>
      <c r="U56" s="30"/>
      <c r="V56" s="30"/>
      <c r="W56" s="30"/>
    </row>
    <row r="57" spans="1:23" ht="13.2" x14ac:dyDescent="0.25">
      <c r="A57" s="30"/>
      <c r="B57" s="30"/>
      <c r="C57" s="30"/>
      <c r="D57" s="30"/>
      <c r="E57" s="30"/>
      <c r="F57" s="30"/>
      <c r="G57" s="30"/>
      <c r="H57" s="30"/>
      <c r="I57" s="30"/>
      <c r="J57" s="30"/>
      <c r="K57" s="30"/>
      <c r="L57" s="30"/>
      <c r="M57" s="30"/>
      <c r="N57" s="30"/>
      <c r="O57" s="30"/>
      <c r="P57" s="30"/>
      <c r="Q57" s="30"/>
      <c r="R57" s="30"/>
      <c r="S57" s="30"/>
      <c r="T57" s="30"/>
      <c r="U57" s="30"/>
      <c r="V57" s="30"/>
      <c r="W57" s="30"/>
    </row>
    <row r="58" spans="1:23" ht="13.2" x14ac:dyDescent="0.25">
      <c r="A58" s="30"/>
      <c r="B58" s="30"/>
      <c r="C58" s="30"/>
      <c r="D58" s="30"/>
      <c r="E58" s="30"/>
      <c r="F58" s="30"/>
      <c r="G58" s="30"/>
      <c r="H58" s="30"/>
      <c r="I58" s="30"/>
      <c r="J58" s="30"/>
      <c r="K58" s="30"/>
      <c r="L58" s="30"/>
      <c r="M58" s="30"/>
      <c r="N58" s="30"/>
      <c r="O58" s="30"/>
      <c r="P58" s="30"/>
      <c r="Q58" s="30"/>
      <c r="R58" s="30"/>
      <c r="S58" s="30"/>
      <c r="T58" s="30"/>
      <c r="U58" s="30"/>
      <c r="V58" s="30"/>
      <c r="W58" s="30"/>
    </row>
    <row r="59" spans="1:23" ht="13.2" x14ac:dyDescent="0.25">
      <c r="A59" s="30"/>
      <c r="B59" s="30"/>
      <c r="C59" s="30"/>
      <c r="D59" s="30"/>
      <c r="E59" s="30"/>
      <c r="F59" s="30"/>
      <c r="G59" s="30"/>
      <c r="H59" s="30"/>
      <c r="I59" s="30"/>
      <c r="J59" s="30"/>
      <c r="K59" s="30"/>
      <c r="L59" s="30"/>
      <c r="M59" s="30"/>
      <c r="N59" s="30"/>
      <c r="O59" s="30"/>
      <c r="P59" s="30"/>
      <c r="Q59" s="30"/>
      <c r="R59" s="30"/>
      <c r="S59" s="30"/>
      <c r="T59" s="30"/>
      <c r="U59" s="30"/>
      <c r="V59" s="30"/>
      <c r="W59" s="30"/>
    </row>
    <row r="60" spans="1:23" ht="13.2" x14ac:dyDescent="0.25">
      <c r="A60" s="30"/>
      <c r="B60" s="30"/>
      <c r="C60" s="30"/>
      <c r="D60" s="30"/>
      <c r="E60" s="30"/>
      <c r="F60" s="30"/>
      <c r="G60" s="30"/>
      <c r="H60" s="30"/>
      <c r="I60" s="30"/>
      <c r="J60" s="30"/>
      <c r="K60" s="30"/>
      <c r="L60" s="30"/>
      <c r="M60" s="30"/>
      <c r="N60" s="30"/>
      <c r="O60" s="30"/>
      <c r="P60" s="30"/>
      <c r="Q60" s="30"/>
      <c r="R60" s="30"/>
      <c r="S60" s="30"/>
      <c r="T60" s="30"/>
      <c r="U60" s="30"/>
      <c r="V60" s="30"/>
      <c r="W60" s="30"/>
    </row>
  </sheetData>
  <mergeCells count="10">
    <mergeCell ref="C24:E24"/>
    <mergeCell ref="G24:I24"/>
    <mergeCell ref="K24:M24"/>
    <mergeCell ref="A4:M4"/>
    <mergeCell ref="A5:M5"/>
    <mergeCell ref="A6:M6"/>
    <mergeCell ref="A7:M7"/>
    <mergeCell ref="C11:E11"/>
    <mergeCell ref="G11:I11"/>
    <mergeCell ref="K11:M11"/>
  </mergeCells>
  <printOptions horizontalCentered="1"/>
  <pageMargins left="0.5" right="0.5" top="1.25" bottom="0.5" header="0.75" footer="0.3"/>
  <pageSetup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59"/>
  <sheetViews>
    <sheetView showGridLines="0" showZeros="0" workbookViewId="0">
      <pane xSplit="1" ySplit="4" topLeftCell="B5"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32.6640625" customWidth="1"/>
    <col min="2" max="2" width="14.6640625" customWidth="1"/>
    <col min="3" max="3" width="13.6640625" customWidth="1"/>
    <col min="4" max="4" width="14.6640625" customWidth="1"/>
    <col min="5" max="7" width="13.6640625" customWidth="1"/>
  </cols>
  <sheetData>
    <row r="1" spans="1:7" x14ac:dyDescent="0.3">
      <c r="A1" s="235" t="s">
        <v>286</v>
      </c>
    </row>
    <row r="2" spans="1:7" x14ac:dyDescent="0.3">
      <c r="A2" s="235" t="s">
        <v>277</v>
      </c>
    </row>
    <row r="3" spans="1:7" ht="15" thickBot="1" x14ac:dyDescent="0.35"/>
    <row r="4" spans="1:7" ht="40.200000000000003" thickBot="1" x14ac:dyDescent="0.35">
      <c r="A4" s="94" t="s">
        <v>271</v>
      </c>
      <c r="B4" s="94" t="s">
        <v>195</v>
      </c>
      <c r="C4" s="94" t="s">
        <v>122</v>
      </c>
      <c r="D4" s="94" t="s">
        <v>275</v>
      </c>
      <c r="E4" s="94" t="s">
        <v>197</v>
      </c>
      <c r="F4" s="94" t="s">
        <v>198</v>
      </c>
      <c r="G4" s="94" t="s">
        <v>273</v>
      </c>
    </row>
    <row r="5" spans="1:7" x14ac:dyDescent="0.3">
      <c r="A5" s="209" t="s">
        <v>265</v>
      </c>
      <c r="B5" s="13">
        <f>+'Energy Losses by Rate Class'!B8+'Energy Losses by Rate Class'!B13</f>
        <v>2902255.4767501103</v>
      </c>
      <c r="C5" s="12">
        <f>IF(B5 =0,0,D5 / B5 )</f>
        <v>1.0444954148545067</v>
      </c>
      <c r="D5" s="13">
        <f>+'Energy Losses by Rate Class'!D8+'Energy Losses by Rate Class'!D13</f>
        <v>3031392.5382018704</v>
      </c>
      <c r="E5" s="205">
        <f>+B5/D5</f>
        <v>0.95740008599204363</v>
      </c>
      <c r="F5" s="217">
        <f>+D5-B5</f>
        <v>129137.06145176012</v>
      </c>
      <c r="G5" s="223">
        <f>+'Energy Losses by Rate Class'!$E$102/('Energy Losses by Rate GROUP'!B5/'Energy Losses by Rate GROUP'!D5)</f>
        <v>0.99409024791088574</v>
      </c>
    </row>
    <row r="6" spans="1:7" x14ac:dyDescent="0.3">
      <c r="A6" s="224"/>
      <c r="F6" s="124"/>
    </row>
    <row r="7" spans="1:7" x14ac:dyDescent="0.3">
      <c r="A7" s="209" t="s">
        <v>266</v>
      </c>
      <c r="B7" s="13">
        <f>+'Energy Losses by Rate Class'!B30+'Energy Losses by Rate Class'!B13</f>
        <v>25294185.026009973</v>
      </c>
      <c r="C7" s="12">
        <f>IF(B7 =0,0,D7 / B7 )</f>
        <v>1.053500733288349</v>
      </c>
      <c r="D7" s="13">
        <f>+'Energy Losses by Rate Class'!D30+'Energy Losses by Rate Class'!D13</f>
        <v>26647442.472832683</v>
      </c>
      <c r="E7" s="205">
        <f>+B7/D7</f>
        <v>0.94921623535908295</v>
      </c>
      <c r="F7" s="218">
        <f>+D7-B7</f>
        <v>1353257.4468227103</v>
      </c>
      <c r="G7" s="223">
        <f>+'Energy Losses by Rate Class'!$E$102/('Energy Losses by Rate GROUP'!B7/'Energy Losses by Rate GROUP'!D7)</f>
        <v>1.0026609884877238</v>
      </c>
    </row>
    <row r="8" spans="1:7" x14ac:dyDescent="0.3">
      <c r="A8" s="224"/>
      <c r="F8" s="124"/>
    </row>
    <row r="9" spans="1:7" x14ac:dyDescent="0.3">
      <c r="A9" s="209" t="s">
        <v>267</v>
      </c>
      <c r="B9" s="13">
        <f>+'Energy Losses by Rate Class'!B40+'Energy Losses by Rate Class'!B56+'Energy Losses by Rate Class'!B48</f>
        <v>2585363.0526697244</v>
      </c>
      <c r="C9" s="99">
        <f>+D9/B9</f>
        <v>1.0443911562581274</v>
      </c>
      <c r="D9" s="13">
        <f>+'Energy Losses by Rate Class'!D40+'Energy Losses by Rate Class'!D56+'Energy Losses by Rate Class'!D48</f>
        <v>2700130.3079247754</v>
      </c>
      <c r="E9" s="205">
        <f>+B9/D9</f>
        <v>0.95749566051748924</v>
      </c>
      <c r="F9" s="218">
        <f>+D9-B9</f>
        <v>114767.25525505096</v>
      </c>
      <c r="G9" s="223">
        <f>+'Energy Losses by Rate Class'!$E$102/('Energy Losses by Rate GROUP'!B9/'Energy Losses by Rate GROUP'!D9)</f>
        <v>0.99399102061658884</v>
      </c>
    </row>
    <row r="10" spans="1:7" x14ac:dyDescent="0.3">
      <c r="A10" s="224"/>
      <c r="F10" s="124"/>
    </row>
    <row r="11" spans="1:7" x14ac:dyDescent="0.3">
      <c r="A11" s="209" t="s">
        <v>268</v>
      </c>
      <c r="B11" s="13">
        <f>+'Energy Losses by Rate Class'!B44+'Energy Losses by Rate Class'!B17</f>
        <v>1528583.8457169654</v>
      </c>
      <c r="C11" s="99">
        <f>+D11/B11</f>
        <v>1.0182461500731783</v>
      </c>
      <c r="D11" s="13">
        <f>+'Energy Losses by Rate Class'!D44+'Energy Losses by Rate Class'!D17</f>
        <v>1556474.6159653531</v>
      </c>
      <c r="E11" s="205">
        <f>+B11/D11</f>
        <v>0.98208080622561944</v>
      </c>
      <c r="F11" s="218">
        <f>D11 - B11</f>
        <v>27890.770248387707</v>
      </c>
      <c r="G11" s="223">
        <f>+'Energy Losses by Rate Class'!$E$102/('Energy Losses by Rate GROUP'!B11/'Energy Losses by Rate GROUP'!D11)</f>
        <v>0.96910771781755445</v>
      </c>
    </row>
    <row r="12" spans="1:7" x14ac:dyDescent="0.3">
      <c r="A12" s="224"/>
      <c r="F12" s="124"/>
    </row>
    <row r="13" spans="1:7" x14ac:dyDescent="0.3">
      <c r="A13" s="209" t="s">
        <v>269</v>
      </c>
      <c r="B13" s="13">
        <f>+'Energy Losses by Rate Class'!B52+'Energy Losses by Rate Class'!B64</f>
        <v>618049.56983032892</v>
      </c>
      <c r="C13" s="99">
        <f>+D13/B13</f>
        <v>1.0535746115460856</v>
      </c>
      <c r="D13" s="13">
        <f>+'Energy Losses by Rate Class'!D52+'Energy Losses by Rate Class'!D64</f>
        <v>651161.3354502141</v>
      </c>
      <c r="E13" s="205">
        <f>+B13/D13</f>
        <v>0.94914967486975921</v>
      </c>
      <c r="F13" s="218">
        <f>D13 - B13</f>
        <v>33111.765619885176</v>
      </c>
      <c r="G13" s="223">
        <f>+'Energy Losses by Rate Class'!$E$102/('Energy Losses by Rate GROUP'!B13/'Energy Losses by Rate GROUP'!D13)</f>
        <v>1.0027313015350614</v>
      </c>
    </row>
    <row r="14" spans="1:7" x14ac:dyDescent="0.3">
      <c r="A14" s="224"/>
      <c r="F14" s="124"/>
    </row>
    <row r="15" spans="1:7" x14ac:dyDescent="0.3">
      <c r="A15" s="209" t="s">
        <v>270</v>
      </c>
      <c r="B15" s="13">
        <f>+'Energy Losses by Rate Class'!B68+'Energy Losses by Rate Class'!B25</f>
        <v>114833.10905295407</v>
      </c>
      <c r="C15" s="99">
        <f>+D15/B15</f>
        <v>1.0535746115460853</v>
      </c>
      <c r="D15" s="13">
        <f>+'Energy Losses by Rate Class'!D68+'Energy Losses by Rate Class'!D25</f>
        <v>120985.24826309535</v>
      </c>
      <c r="E15" s="205">
        <f>+B15/D15</f>
        <v>0.94914967486975932</v>
      </c>
      <c r="F15" s="218">
        <f>D15 - B15</f>
        <v>6152.1392101412785</v>
      </c>
      <c r="G15" s="223">
        <f>+'Energy Losses by Rate Class'!$E$102/('Energy Losses by Rate GROUP'!B15/'Energy Losses by Rate GROUP'!D15)</f>
        <v>1.0027313015350612</v>
      </c>
    </row>
    <row r="59" spans="1:7" ht="15" thickBot="1" x14ac:dyDescent="0.35">
      <c r="A59" s="1"/>
      <c r="B59" s="1"/>
      <c r="C59" s="1"/>
      <c r="D59" s="1"/>
      <c r="E59" s="1"/>
      <c r="F59" s="1"/>
      <c r="G59" s="1"/>
    </row>
  </sheetData>
  <printOptions horizontalCentered="1"/>
  <pageMargins left="0.75" right="0.5" top="1.25" bottom="0.5" header="0.5" footer="0.3"/>
  <pageSetup scale="75" orientation="portrait" r:id="rId1"/>
  <headerFooter>
    <oddHeader>&amp;C&amp;"Arial,Bold"&amp;10LINE LOSS STUDY - 2014 ACTUALS
Florida Power and Light Company
Energy Losses by Rate Group
December 2014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59"/>
  <sheetViews>
    <sheetView showGridLines="0" showZeros="0" workbookViewId="0">
      <pane xSplit="1" ySplit="4" topLeftCell="B5"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32.6640625" customWidth="1"/>
    <col min="2" max="2" width="14.6640625" customWidth="1"/>
    <col min="3" max="3" width="13.6640625" customWidth="1"/>
    <col min="4" max="7" width="14.6640625" customWidth="1"/>
  </cols>
  <sheetData>
    <row r="1" spans="1:7" x14ac:dyDescent="0.3">
      <c r="A1" s="235" t="s">
        <v>287</v>
      </c>
    </row>
    <row r="2" spans="1:7" x14ac:dyDescent="0.3">
      <c r="A2" s="235" t="s">
        <v>277</v>
      </c>
    </row>
    <row r="3" spans="1:7" ht="15" thickBot="1" x14ac:dyDescent="0.35"/>
    <row r="4" spans="1:7" ht="40.200000000000003" thickBot="1" x14ac:dyDescent="0.35">
      <c r="A4" s="94" t="s">
        <v>194</v>
      </c>
      <c r="B4" s="94" t="s">
        <v>263</v>
      </c>
      <c r="C4" s="94" t="s">
        <v>122</v>
      </c>
      <c r="D4" s="94" t="s">
        <v>272</v>
      </c>
      <c r="E4" s="94" t="s">
        <v>197</v>
      </c>
      <c r="F4" s="94" t="s">
        <v>198</v>
      </c>
      <c r="G4" s="94" t="s">
        <v>199</v>
      </c>
    </row>
    <row r="5" spans="1:7" x14ac:dyDescent="0.3">
      <c r="A5" s="209" t="s">
        <v>265</v>
      </c>
      <c r="B5" s="13">
        <f>+'12CP Dem Losses by Rate Class'!B8+'12CP Dem Losses by Rate Class'!B13</f>
        <v>362071.91666666663</v>
      </c>
      <c r="C5" s="12">
        <f>+D5/B5</f>
        <v>1.0576073388834895</v>
      </c>
      <c r="D5" s="13">
        <f>+'12CP Dem Losses by Rate Class'!D8+'12CP Dem Losses by Rate Class'!D13</f>
        <v>382929.91627027787</v>
      </c>
      <c r="E5" s="99">
        <f>+B5/D5</f>
        <v>0.94553050384057913</v>
      </c>
      <c r="F5" s="13">
        <f>+D5-B5</f>
        <v>20857.999603611242</v>
      </c>
      <c r="G5" s="223">
        <f>+'12CP Dem Losses by Rate Class'!$E$119/('12CP Dem Losses by Rate Group'!B5/'12CP Dem Losses by Rate Group'!D5)</f>
        <v>0.99163553309172803</v>
      </c>
    </row>
    <row r="6" spans="1:7" x14ac:dyDescent="0.3">
      <c r="A6" s="224"/>
    </row>
    <row r="7" spans="1:7" x14ac:dyDescent="0.3">
      <c r="A7" s="209" t="s">
        <v>266</v>
      </c>
      <c r="B7" s="13">
        <f>+'12CP Dem Losses by Rate Class'!B30+'12CP Dem Losses by Rate Class'!B13</f>
        <v>3844993.833333333</v>
      </c>
      <c r="C7" s="12">
        <f>IF(B7 =0,0,D7 / B7 )</f>
        <v>1.0698754600979432</v>
      </c>
      <c r="D7" s="13">
        <f>+'12CP Dem Losses by Rate Class'!D30+'12CP Dem Losses by Rate Class'!D13</f>
        <v>4113664.5465112543</v>
      </c>
      <c r="E7" s="99">
        <f>+B7/D7</f>
        <v>0.93468822988841482</v>
      </c>
      <c r="F7" s="13">
        <f>+D7-B7</f>
        <v>268670.71317792125</v>
      </c>
      <c r="G7" s="223">
        <f>+'12CP Dem Losses by Rate Class'!$E$119/('12CP Dem Losses by Rate Group'!B7/'12CP Dem Losses by Rate Group'!D7)</f>
        <v>1.0031383890887107</v>
      </c>
    </row>
    <row r="8" spans="1:7" x14ac:dyDescent="0.3">
      <c r="A8" s="224"/>
    </row>
    <row r="9" spans="1:7" x14ac:dyDescent="0.3">
      <c r="A9" s="209" t="s">
        <v>267</v>
      </c>
      <c r="B9" s="13">
        <f>+'12CP Dem Losses by Rate Class'!B40+'12CP Dem Losses by Rate Class'!B57+'12CP Dem Losses by Rate Class'!B48</f>
        <v>322857.66666666669</v>
      </c>
      <c r="C9" s="12">
        <f>IF(B9 =0,0,D9 / B9 )</f>
        <v>1.0582489289829329</v>
      </c>
      <c r="D9" s="13">
        <f>+'12CP Dem Losses by Rate Class'!D40+'12CP Dem Losses by Rate Class'!D57+'12CP Dem Losses by Rate Class'!D48</f>
        <v>341663.77996392874</v>
      </c>
      <c r="E9" s="99">
        <f>+B9/D9</f>
        <v>0.94495725212883985</v>
      </c>
      <c r="F9" s="13">
        <f>+D9-B9</f>
        <v>18806.113297262054</v>
      </c>
      <c r="G9" s="223">
        <f>+'12CP Dem Losses by Rate Class'!$E$119/('12CP Dem Losses by Rate Group'!B9/'12CP Dem Losses by Rate Group'!D9)</f>
        <v>0.99223710185633163</v>
      </c>
    </row>
    <row r="10" spans="1:7" x14ac:dyDescent="0.3">
      <c r="A10" s="224"/>
    </row>
    <row r="11" spans="1:7" x14ac:dyDescent="0.3">
      <c r="A11" s="209" t="s">
        <v>268</v>
      </c>
      <c r="B11" s="13">
        <f>+'12CP Dem Losses by Rate Class'!B44+'12CP Dem Losses by Rate Class'!B17</f>
        <v>184768.58333333334</v>
      </c>
      <c r="C11" s="12">
        <f>IF(B11 =0,0,D11 / B11 )</f>
        <v>1.0230839872669728</v>
      </c>
      <c r="D11" s="13">
        <f>+'12CP Dem Losses by Rate Class'!D44+'12CP Dem Losses by Rate Class'!D17</f>
        <v>189033.7789583366</v>
      </c>
      <c r="E11" s="99">
        <f>+B11/D11</f>
        <v>0.9774368599701786</v>
      </c>
      <c r="F11" s="13">
        <f>+D11-B11</f>
        <v>4265.1956250032526</v>
      </c>
      <c r="G11" s="223">
        <f>+'12CP Dem Losses by Rate Class'!$E$119/('12CP Dem Losses by Rate Group'!B11/'12CP Dem Losses by Rate Group'!D11)</f>
        <v>0.95926569135018047</v>
      </c>
    </row>
    <row r="12" spans="1:7" x14ac:dyDescent="0.3">
      <c r="A12" s="224"/>
    </row>
    <row r="13" spans="1:7" x14ac:dyDescent="0.3">
      <c r="A13" s="209" t="s">
        <v>269</v>
      </c>
      <c r="B13" s="13">
        <f>+'12CP Dem Losses by Rate Class'!B52+'12CP Dem Losses by Rate Class'!B65</f>
        <v>1159.5</v>
      </c>
      <c r="C13" s="12">
        <f>IF(B13 =0,0,D13 / B13 )</f>
        <v>1.0699729449745548</v>
      </c>
      <c r="D13" s="13">
        <f>+'12CP Dem Losses by Rate Class'!D52+'12CP Dem Losses by Rate Class'!D65</f>
        <v>1240.6336296979962</v>
      </c>
      <c r="E13" s="99">
        <f>+B13/D13</f>
        <v>0.9346030707568791</v>
      </c>
      <c r="F13" s="13">
        <f>+D13-B13</f>
        <v>81.133629697996184</v>
      </c>
      <c r="G13" s="223">
        <f>+'12CP Dem Losses by Rate Class'!$E$119/('12CP Dem Losses by Rate Group'!B13/'12CP Dem Losses by Rate Group'!D13)</f>
        <v>1.0032297930191041</v>
      </c>
    </row>
    <row r="14" spans="1:7" x14ac:dyDescent="0.3">
      <c r="A14" s="224"/>
    </row>
    <row r="15" spans="1:7" x14ac:dyDescent="0.3">
      <c r="A15" s="209" t="s">
        <v>270</v>
      </c>
      <c r="B15" s="13">
        <f>+'12CP Dem Losses by Rate Class'!B69+'12CP Dem Losses by Rate Class'!B25</f>
        <v>13485.083333333334</v>
      </c>
      <c r="C15" s="12">
        <f>IF(B15 =0,0,D15 / B15 )</f>
        <v>1.0699729449745548</v>
      </c>
      <c r="D15" s="13">
        <f>+'12CP Dem Losses by Rate Class'!D69+'12CP Dem Losses by Rate Class'!D25</f>
        <v>14428.674327393952</v>
      </c>
      <c r="E15" s="99">
        <f>+B15/D15</f>
        <v>0.9346030707568791</v>
      </c>
      <c r="F15" s="13">
        <f>+D15-B15</f>
        <v>943.59099406061796</v>
      </c>
      <c r="G15" s="223">
        <f>+'12CP Dem Losses by Rate Class'!$E$119/('12CP Dem Losses by Rate Group'!B15/'12CP Dem Losses by Rate Group'!D15)</f>
        <v>1.0032297930191041</v>
      </c>
    </row>
    <row r="59" spans="1:7" ht="15" thickBot="1" x14ac:dyDescent="0.35">
      <c r="A59" s="1"/>
      <c r="B59" s="1"/>
      <c r="C59" s="1"/>
      <c r="D59" s="1"/>
      <c r="E59" s="1"/>
      <c r="F59" s="1"/>
      <c r="G59" s="1"/>
    </row>
  </sheetData>
  <printOptions horizontalCentered="1"/>
  <pageMargins left="0.75" right="0.5" top="1.25" bottom="0.5" header="0.5" footer="0.3"/>
  <pageSetup scale="75" orientation="portrait" r:id="rId1"/>
  <headerFooter>
    <oddHeader>&amp;C&amp;"Arial,Bold"&amp;10LINE LOSS STUDY - 2014 ACTUALS
Florida Power and Light Company
12CP Demand Losses by Rate Group
December 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59"/>
  <sheetViews>
    <sheetView showGridLines="0" showZeros="0" workbookViewId="0">
      <pane xSplit="2" ySplit="5" topLeftCell="C6"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5.6640625" customWidth="1"/>
    <col min="2" max="2" width="54.109375" customWidth="1"/>
    <col min="3" max="3" width="12.33203125" bestFit="1" customWidth="1"/>
    <col min="4" max="4" width="11.6640625" customWidth="1"/>
    <col min="5" max="6" width="12.6640625" customWidth="1"/>
    <col min="7" max="7" width="13.6640625" customWidth="1"/>
    <col min="9" max="9" width="20.5546875" bestFit="1" customWidth="1"/>
  </cols>
  <sheetData>
    <row r="1" spans="1:7" x14ac:dyDescent="0.3">
      <c r="A1" s="235" t="s">
        <v>278</v>
      </c>
    </row>
    <row r="2" spans="1:7" x14ac:dyDescent="0.3">
      <c r="A2" s="235" t="s">
        <v>277</v>
      </c>
    </row>
    <row r="3" spans="1:7" x14ac:dyDescent="0.3">
      <c r="B3" s="2"/>
      <c r="C3" s="2"/>
      <c r="D3" s="2"/>
      <c r="E3" s="2"/>
      <c r="F3" s="2"/>
      <c r="G3" s="2"/>
    </row>
    <row r="4" spans="1:7" ht="15" thickBot="1" x14ac:dyDescent="0.35">
      <c r="A4" s="1"/>
      <c r="B4" s="1"/>
      <c r="C4" s="1"/>
      <c r="D4" s="1"/>
      <c r="E4" s="1"/>
      <c r="F4" s="1"/>
      <c r="G4" s="1"/>
    </row>
    <row r="5" spans="1:7" ht="27" customHeight="1" thickBot="1" x14ac:dyDescent="0.35">
      <c r="A5" s="94" t="s">
        <v>118</v>
      </c>
      <c r="B5" s="94" t="s">
        <v>129</v>
      </c>
      <c r="C5" s="94" t="s">
        <v>119</v>
      </c>
      <c r="D5" s="94" t="s">
        <v>120</v>
      </c>
      <c r="E5" s="94" t="s">
        <v>121</v>
      </c>
      <c r="F5" s="94" t="s">
        <v>122</v>
      </c>
      <c r="G5" s="94" t="s">
        <v>123</v>
      </c>
    </row>
    <row r="6" spans="1:7" x14ac:dyDescent="0.3">
      <c r="A6" s="3" t="s">
        <v>1</v>
      </c>
      <c r="B6" s="4" t="s">
        <v>2</v>
      </c>
      <c r="C6" s="5">
        <f>+'Losses, Sales &amp; Co Use'!E4</f>
        <v>123388587</v>
      </c>
      <c r="D6" s="6">
        <v>0</v>
      </c>
      <c r="E6" s="7">
        <v>0</v>
      </c>
      <c r="F6" s="8">
        <v>0</v>
      </c>
      <c r="G6" s="9">
        <v>0</v>
      </c>
    </row>
    <row r="7" spans="1:7" x14ac:dyDescent="0.3">
      <c r="A7" s="3" t="s">
        <v>3</v>
      </c>
    </row>
    <row r="8" spans="1:7" x14ac:dyDescent="0.3">
      <c r="A8" s="3" t="s">
        <v>4</v>
      </c>
      <c r="B8" s="4" t="s">
        <v>5</v>
      </c>
      <c r="C8" s="70">
        <f>-'Losses, Sales &amp; Co Use'!C7</f>
        <v>-228183</v>
      </c>
      <c r="D8" s="6">
        <f>-C8/C6</f>
        <v>1.8493039392695209E-3</v>
      </c>
      <c r="E8" s="64">
        <f>+C6/C10</f>
        <v>1.0018527302005278</v>
      </c>
      <c r="F8" s="65">
        <v>0</v>
      </c>
      <c r="G8" s="9">
        <v>0</v>
      </c>
    </row>
    <row r="9" spans="1:7" x14ac:dyDescent="0.3">
      <c r="A9" s="3" t="s">
        <v>6</v>
      </c>
      <c r="E9" s="61"/>
      <c r="F9" s="61"/>
    </row>
    <row r="10" spans="1:7" x14ac:dyDescent="0.3">
      <c r="A10" s="3" t="s">
        <v>7</v>
      </c>
      <c r="B10" s="4" t="s">
        <v>8</v>
      </c>
      <c r="C10" s="5">
        <f>+C6+C8</f>
        <v>123160404</v>
      </c>
      <c r="D10" s="6">
        <v>0</v>
      </c>
      <c r="E10" s="66">
        <v>0</v>
      </c>
      <c r="F10" s="65">
        <v>0</v>
      </c>
      <c r="G10" s="9">
        <v>0</v>
      </c>
    </row>
    <row r="11" spans="1:7" x14ac:dyDescent="0.3">
      <c r="A11" s="3" t="s">
        <v>9</v>
      </c>
      <c r="E11" s="61"/>
      <c r="F11" s="61"/>
    </row>
    <row r="12" spans="1:7" x14ac:dyDescent="0.3">
      <c r="A12" s="3" t="s">
        <v>10</v>
      </c>
      <c r="B12" s="4" t="s">
        <v>11</v>
      </c>
      <c r="C12" s="5">
        <f>-'Losses, Sales &amp; Co Use'!C11</f>
        <v>-2134065</v>
      </c>
      <c r="D12" s="6">
        <v>0</v>
      </c>
      <c r="E12" s="66">
        <v>0</v>
      </c>
      <c r="F12" s="65">
        <v>0</v>
      </c>
      <c r="G12" s="9">
        <v>0</v>
      </c>
    </row>
    <row r="13" spans="1:7" x14ac:dyDescent="0.3">
      <c r="A13" s="3" t="s">
        <v>12</v>
      </c>
      <c r="E13" s="61"/>
      <c r="F13" s="61"/>
    </row>
    <row r="14" spans="1:7" ht="16.2" x14ac:dyDescent="0.3">
      <c r="A14" s="3" t="s">
        <v>13</v>
      </c>
      <c r="B14" s="10" t="s">
        <v>110</v>
      </c>
      <c r="C14" s="5">
        <f>+'Losses, Sales &amp; Co Use'!C9</f>
        <v>151224</v>
      </c>
      <c r="D14" s="6">
        <v>0</v>
      </c>
      <c r="E14" s="66">
        <v>0</v>
      </c>
      <c r="F14" s="65">
        <v>0</v>
      </c>
      <c r="G14" s="9">
        <v>0</v>
      </c>
    </row>
    <row r="15" spans="1:7" x14ac:dyDescent="0.3">
      <c r="A15" s="3" t="s">
        <v>14</v>
      </c>
      <c r="E15" s="61"/>
      <c r="F15" s="61"/>
    </row>
    <row r="16" spans="1:7" x14ac:dyDescent="0.3">
      <c r="A16" s="3" t="s">
        <v>15</v>
      </c>
      <c r="B16" s="4" t="s">
        <v>16</v>
      </c>
      <c r="C16" s="70">
        <f>+C12+C14</f>
        <v>-1982841</v>
      </c>
      <c r="D16" s="6">
        <f>-C16/C10</f>
        <v>1.6099663005327589E-2</v>
      </c>
      <c r="E16" s="66">
        <f>+C10/C18</f>
        <v>1.0163631034567018</v>
      </c>
      <c r="F16" s="65">
        <v>0</v>
      </c>
      <c r="G16" s="9">
        <v>0</v>
      </c>
    </row>
    <row r="17" spans="1:9" x14ac:dyDescent="0.3">
      <c r="A17" s="3" t="s">
        <v>17</v>
      </c>
      <c r="E17" s="61"/>
      <c r="F17" s="61"/>
    </row>
    <row r="18" spans="1:9" x14ac:dyDescent="0.3">
      <c r="A18" s="3" t="s">
        <v>18</v>
      </c>
      <c r="B18" s="4" t="s">
        <v>19</v>
      </c>
      <c r="C18" s="5">
        <f>+C10+C16</f>
        <v>121177563</v>
      </c>
      <c r="D18" s="6">
        <v>0</v>
      </c>
      <c r="E18" s="66">
        <v>0</v>
      </c>
      <c r="F18" s="65">
        <v>0</v>
      </c>
      <c r="G18" s="9">
        <v>0</v>
      </c>
    </row>
    <row r="19" spans="1:9" x14ac:dyDescent="0.3">
      <c r="A19" s="3" t="s">
        <v>20</v>
      </c>
      <c r="E19" s="61"/>
      <c r="F19" s="61"/>
    </row>
    <row r="20" spans="1:9" x14ac:dyDescent="0.3">
      <c r="A20" s="3" t="s">
        <v>21</v>
      </c>
      <c r="B20" s="72" t="s">
        <v>22</v>
      </c>
      <c r="C20" s="73">
        <f>-'Losses, Sales &amp; Co Use'!D30-'Losses, Sales &amp; Co Use'!D36</f>
        <v>-7185763.9383754227</v>
      </c>
      <c r="D20" s="74">
        <v>0</v>
      </c>
      <c r="E20" s="75">
        <v>0</v>
      </c>
      <c r="F20" s="76">
        <f>+E8*E16</f>
        <v>1.0182461500731781</v>
      </c>
      <c r="G20" s="77">
        <f>+(F20-1)/F20</f>
        <v>1.791919377438039E-2</v>
      </c>
      <c r="I20" s="63"/>
    </row>
    <row r="21" spans="1:9" x14ac:dyDescent="0.3">
      <c r="A21" s="3" t="s">
        <v>23</v>
      </c>
    </row>
    <row r="22" spans="1:9" x14ac:dyDescent="0.3">
      <c r="A22" s="3" t="s">
        <v>24</v>
      </c>
      <c r="B22" s="4" t="s">
        <v>25</v>
      </c>
      <c r="C22" s="5">
        <f>+'Losses, Sales &amp; Co Use'!E44</f>
        <v>-7361153</v>
      </c>
      <c r="D22" s="6">
        <v>0</v>
      </c>
      <c r="E22" s="7">
        <v>0</v>
      </c>
      <c r="F22" s="8">
        <v>0</v>
      </c>
      <c r="G22" s="9">
        <v>0</v>
      </c>
    </row>
    <row r="23" spans="1:9" x14ac:dyDescent="0.3">
      <c r="A23" s="3" t="s">
        <v>26</v>
      </c>
    </row>
    <row r="24" spans="1:9" ht="16.2" x14ac:dyDescent="0.3">
      <c r="A24" s="3" t="s">
        <v>27</v>
      </c>
      <c r="B24" s="10" t="s">
        <v>111</v>
      </c>
      <c r="C24" s="70">
        <f>-'Losses, Sales &amp; Co Use'!C9</f>
        <v>-151224</v>
      </c>
      <c r="D24" s="6">
        <v>0</v>
      </c>
      <c r="E24" s="7">
        <v>0</v>
      </c>
      <c r="F24" s="8">
        <v>0</v>
      </c>
      <c r="G24" s="9">
        <v>0</v>
      </c>
    </row>
    <row r="25" spans="1:9" x14ac:dyDescent="0.3">
      <c r="A25" s="3" t="s">
        <v>28</v>
      </c>
    </row>
    <row r="26" spans="1:9" x14ac:dyDescent="0.3">
      <c r="A26" s="3" t="s">
        <v>29</v>
      </c>
      <c r="B26" s="4" t="s">
        <v>30</v>
      </c>
      <c r="C26" s="5">
        <f>+C18+C20+C22+C24</f>
        <v>106479422.06162457</v>
      </c>
      <c r="D26" s="6">
        <v>0</v>
      </c>
      <c r="E26" s="7">
        <v>0</v>
      </c>
      <c r="F26" s="8">
        <v>0</v>
      </c>
      <c r="G26" s="9">
        <v>0</v>
      </c>
    </row>
    <row r="27" spans="1:9" x14ac:dyDescent="0.3">
      <c r="A27" s="3" t="s">
        <v>31</v>
      </c>
    </row>
    <row r="28" spans="1:9" x14ac:dyDescent="0.3">
      <c r="A28" s="3" t="s">
        <v>32</v>
      </c>
      <c r="B28" s="4" t="s">
        <v>33</v>
      </c>
      <c r="C28" s="70">
        <f>-'Losses, Sales &amp; Co Use'!C13</f>
        <v>-449574</v>
      </c>
      <c r="D28" s="6">
        <f>-C28/C26</f>
        <v>4.222167920293657E-3</v>
      </c>
      <c r="E28" s="67">
        <f>+C26/C30</f>
        <v>1.0042400702087086</v>
      </c>
      <c r="F28" s="68">
        <v>0</v>
      </c>
      <c r="G28" s="9">
        <v>0</v>
      </c>
    </row>
    <row r="29" spans="1:9" x14ac:dyDescent="0.3">
      <c r="A29" s="3" t="s">
        <v>34</v>
      </c>
      <c r="E29" s="69"/>
      <c r="F29" s="69"/>
    </row>
    <row r="30" spans="1:9" x14ac:dyDescent="0.3">
      <c r="A30" s="3" t="s">
        <v>35</v>
      </c>
      <c r="B30" s="4" t="s">
        <v>36</v>
      </c>
      <c r="C30" s="5">
        <f>+C26+C28</f>
        <v>106029848.06162457</v>
      </c>
      <c r="D30" s="6">
        <v>0</v>
      </c>
      <c r="E30" s="67">
        <v>0</v>
      </c>
      <c r="F30" s="68">
        <v>0</v>
      </c>
      <c r="G30" s="9">
        <v>0</v>
      </c>
    </row>
    <row r="31" spans="1:9" x14ac:dyDescent="0.3">
      <c r="A31" s="3" t="s">
        <v>37</v>
      </c>
      <c r="E31" s="69"/>
      <c r="F31" s="69"/>
    </row>
    <row r="32" spans="1:9" x14ac:dyDescent="0.3">
      <c r="A32" s="3" t="s">
        <v>38</v>
      </c>
      <c r="B32" s="4" t="s">
        <v>39</v>
      </c>
      <c r="C32" s="70">
        <f>-'Losses, Sales &amp; Co Use'!C16</f>
        <v>-623574</v>
      </c>
      <c r="D32" s="6">
        <f>-C32/C30</f>
        <v>5.8811175475567846E-3</v>
      </c>
      <c r="E32" s="67">
        <f>+C30/C34</f>
        <v>1.00591590970795</v>
      </c>
      <c r="F32" s="68">
        <v>0</v>
      </c>
      <c r="G32" s="9">
        <v>0</v>
      </c>
    </row>
    <row r="33" spans="1:7" x14ac:dyDescent="0.3">
      <c r="A33" s="3" t="s">
        <v>40</v>
      </c>
      <c r="E33" s="69"/>
      <c r="F33" s="69"/>
    </row>
    <row r="34" spans="1:7" x14ac:dyDescent="0.3">
      <c r="A34" s="3" t="s">
        <v>41</v>
      </c>
      <c r="B34" s="4" t="s">
        <v>42</v>
      </c>
      <c r="C34" s="5">
        <f>+C30+C32</f>
        <v>105406274.06162457</v>
      </c>
      <c r="D34" s="6">
        <v>0</v>
      </c>
      <c r="E34" s="67">
        <v>0</v>
      </c>
      <c r="F34" s="68">
        <v>0</v>
      </c>
      <c r="G34" s="9">
        <v>0</v>
      </c>
    </row>
    <row r="35" spans="1:7" x14ac:dyDescent="0.3">
      <c r="A35" s="3" t="s">
        <v>43</v>
      </c>
      <c r="E35" s="69"/>
      <c r="F35" s="69"/>
    </row>
    <row r="36" spans="1:7" x14ac:dyDescent="0.3">
      <c r="A36" s="3" t="s">
        <v>44</v>
      </c>
      <c r="B36" s="78" t="s">
        <v>45</v>
      </c>
      <c r="C36" s="83">
        <f>-'Losses, Sales &amp; Co Use'!D31-'Losses, Sales &amp; Co Use'!D37</f>
        <v>-2494087.7276217821</v>
      </c>
      <c r="D36" s="79">
        <v>0</v>
      </c>
      <c r="E36" s="80">
        <v>0</v>
      </c>
      <c r="F36" s="81">
        <f>+F20*E28*E32</f>
        <v>1.0286129790801486</v>
      </c>
      <c r="G36" s="82">
        <f>+(F36-1)/F36</f>
        <v>2.7817050399010272E-2</v>
      </c>
    </row>
    <row r="37" spans="1:7" x14ac:dyDescent="0.3">
      <c r="A37" s="3" t="s">
        <v>46</v>
      </c>
    </row>
    <row r="38" spans="1:7" x14ac:dyDescent="0.3">
      <c r="A38" s="3" t="s">
        <v>47</v>
      </c>
      <c r="B38" s="4" t="s">
        <v>48</v>
      </c>
      <c r="C38" s="5">
        <f>+C34+C36</f>
        <v>102912186.33400279</v>
      </c>
      <c r="D38" s="6">
        <v>0</v>
      </c>
      <c r="E38" s="7">
        <v>0</v>
      </c>
      <c r="F38" s="8">
        <v>0</v>
      </c>
      <c r="G38" s="9">
        <v>0</v>
      </c>
    </row>
    <row r="39" spans="1:7" x14ac:dyDescent="0.3">
      <c r="A39" s="3" t="s">
        <v>49</v>
      </c>
    </row>
    <row r="40" spans="1:7" x14ac:dyDescent="0.3">
      <c r="A40" s="3" t="s">
        <v>50</v>
      </c>
      <c r="B40" s="4" t="s">
        <v>51</v>
      </c>
      <c r="C40" s="70">
        <f>-'Losses, Sales &amp; Co Use'!C18</f>
        <v>-2029976</v>
      </c>
      <c r="D40" s="6">
        <f>-C40/C38</f>
        <v>1.9725321872102564E-2</v>
      </c>
      <c r="E40" s="67">
        <f>+C38/C42</f>
        <v>1.020122239523491</v>
      </c>
      <c r="F40" s="68">
        <v>0</v>
      </c>
      <c r="G40" s="9">
        <v>0</v>
      </c>
    </row>
    <row r="41" spans="1:7" x14ac:dyDescent="0.3">
      <c r="A41" s="3" t="s">
        <v>52</v>
      </c>
      <c r="E41" s="69"/>
      <c r="F41" s="69"/>
    </row>
    <row r="42" spans="1:7" x14ac:dyDescent="0.3">
      <c r="A42" s="3" t="s">
        <v>53</v>
      </c>
      <c r="B42" s="4" t="s">
        <v>54</v>
      </c>
      <c r="C42" s="5">
        <f>+C38+C40</f>
        <v>100882210.33400279</v>
      </c>
      <c r="D42" s="6">
        <v>0</v>
      </c>
      <c r="E42" s="67">
        <v>0</v>
      </c>
      <c r="F42" s="68">
        <v>0</v>
      </c>
      <c r="G42" s="9">
        <v>0</v>
      </c>
    </row>
    <row r="43" spans="1:7" x14ac:dyDescent="0.3">
      <c r="A43" s="3" t="s">
        <v>55</v>
      </c>
      <c r="E43" s="69"/>
      <c r="F43" s="69"/>
    </row>
    <row r="44" spans="1:7" x14ac:dyDescent="0.3">
      <c r="A44" s="3" t="s">
        <v>56</v>
      </c>
      <c r="B44" s="4" t="s">
        <v>57</v>
      </c>
      <c r="C44" s="70">
        <f>-'Losses, Sales &amp; Co Use'!C20</f>
        <v>-408253</v>
      </c>
      <c r="D44" s="6">
        <f>-C44/C42</f>
        <v>4.0468284611166628E-3</v>
      </c>
      <c r="E44" s="67">
        <f>+C42/C46</f>
        <v>1.0040632718251841</v>
      </c>
      <c r="F44" s="68">
        <v>0</v>
      </c>
      <c r="G44" s="9">
        <v>0</v>
      </c>
    </row>
    <row r="45" spans="1:7" x14ac:dyDescent="0.3">
      <c r="A45" s="3" t="s">
        <v>58</v>
      </c>
      <c r="E45" s="69"/>
      <c r="F45" s="69"/>
    </row>
    <row r="46" spans="1:7" x14ac:dyDescent="0.3">
      <c r="A46" s="3" t="s">
        <v>59</v>
      </c>
      <c r="B46" s="4" t="s">
        <v>60</v>
      </c>
      <c r="C46" s="5">
        <f>+C42+C44</f>
        <v>100473957.33400279</v>
      </c>
      <c r="D46" s="6">
        <v>0</v>
      </c>
      <c r="E46" s="67">
        <v>0</v>
      </c>
      <c r="F46" s="68">
        <v>0</v>
      </c>
      <c r="G46" s="9">
        <v>0</v>
      </c>
    </row>
    <row r="47" spans="1:7" x14ac:dyDescent="0.3">
      <c r="A47" s="3" t="s">
        <v>61</v>
      </c>
      <c r="E47" s="69"/>
      <c r="F47" s="69"/>
    </row>
    <row r="48" spans="1:7" x14ac:dyDescent="0.3">
      <c r="A48" s="3" t="s">
        <v>62</v>
      </c>
      <c r="B48" s="4" t="s">
        <v>63</v>
      </c>
      <c r="C48" s="5">
        <f>+'Losses, Sales &amp; Co Use'!E42</f>
        <v>-123235</v>
      </c>
      <c r="D48" s="6">
        <v>0</v>
      </c>
      <c r="E48" s="67">
        <v>0</v>
      </c>
      <c r="F48" s="68">
        <v>0</v>
      </c>
      <c r="G48" s="9">
        <v>0</v>
      </c>
    </row>
    <row r="49" spans="1:7" x14ac:dyDescent="0.3">
      <c r="A49" s="3" t="s">
        <v>64</v>
      </c>
      <c r="E49" s="69"/>
      <c r="F49" s="69"/>
    </row>
    <row r="50" spans="1:7" x14ac:dyDescent="0.3">
      <c r="A50" s="3" t="s">
        <v>65</v>
      </c>
      <c r="B50" s="85" t="s">
        <v>66</v>
      </c>
      <c r="C50" s="90">
        <v>-100350722.4190038</v>
      </c>
      <c r="D50" s="86">
        <v>0</v>
      </c>
      <c r="E50" s="87">
        <v>0</v>
      </c>
      <c r="F50" s="88">
        <f>+F36*E40*E44</f>
        <v>1.0535746115460856</v>
      </c>
      <c r="G50" s="89">
        <f>+(F50-1)/F50</f>
        <v>5.0850325130240757E-2</v>
      </c>
    </row>
    <row r="51" spans="1:7" x14ac:dyDescent="0.3">
      <c r="A51" s="3" t="s">
        <v>67</v>
      </c>
    </row>
    <row r="52" spans="1:7" ht="15" thickBot="1" x14ac:dyDescent="0.35">
      <c r="A52" s="3" t="s">
        <v>68</v>
      </c>
      <c r="B52" s="4" t="s">
        <v>69</v>
      </c>
      <c r="C52" s="84">
        <f>+C46+C48+C50</f>
        <v>-8.5001006722450256E-2</v>
      </c>
      <c r="D52" s="6">
        <v>0</v>
      </c>
      <c r="E52" s="7">
        <v>0</v>
      </c>
      <c r="F52" s="8">
        <v>0</v>
      </c>
      <c r="G52" s="9">
        <v>0</v>
      </c>
    </row>
    <row r="53" spans="1:7" ht="15" thickTop="1" x14ac:dyDescent="0.3">
      <c r="A53" s="3"/>
      <c r="B53" s="4"/>
      <c r="C53" s="95"/>
      <c r="D53" s="6"/>
      <c r="E53" s="7"/>
      <c r="F53" s="8"/>
      <c r="G53" s="9"/>
    </row>
    <row r="54" spans="1:7" ht="15" thickBot="1" x14ac:dyDescent="0.35">
      <c r="A54" s="132"/>
      <c r="B54" s="133"/>
      <c r="C54" s="134"/>
      <c r="D54" s="135"/>
      <c r="E54" s="136"/>
      <c r="F54" s="137"/>
      <c r="G54" s="138"/>
    </row>
    <row r="55" spans="1:7" x14ac:dyDescent="0.3">
      <c r="A55" s="140"/>
      <c r="B55" s="141"/>
      <c r="C55" s="95"/>
      <c r="D55" s="142"/>
      <c r="E55" s="143"/>
      <c r="F55" s="144"/>
      <c r="G55" s="145"/>
    </row>
    <row r="57" spans="1:7" x14ac:dyDescent="0.3">
      <c r="A57" s="93" t="s">
        <v>112</v>
      </c>
      <c r="B57" s="92" t="s">
        <v>109</v>
      </c>
    </row>
    <row r="58" spans="1:7" x14ac:dyDescent="0.3">
      <c r="B58" s="92" t="s">
        <v>107</v>
      </c>
    </row>
    <row r="59" spans="1:7" x14ac:dyDescent="0.3">
      <c r="B59" s="91" t="s">
        <v>108</v>
      </c>
    </row>
  </sheetData>
  <printOptions horizontalCentered="1"/>
  <pageMargins left="0.75" right="0.5" top="1.25" bottom="0.5" header="0.5" footer="0.3"/>
  <pageSetup scale="75" orientation="portrait" r:id="rId1"/>
  <headerFooter>
    <oddHeader>&amp;C&amp;"Arial,Bold"&amp;10 LINE LOSS STUDY - 2014 ACTUALS
Florida Power &amp; Light Company
Development of Loss Expansion Factors - Energy
For The Year Ended December 2014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autoPageBreaks="0"/>
  </sheetPr>
  <dimension ref="A1:G87"/>
  <sheetViews>
    <sheetView showGridLines="0" showZeros="0" workbookViewId="0">
      <pane xSplit="2" ySplit="3" topLeftCell="C4"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5.6640625" customWidth="1"/>
    <col min="2" max="2" width="66" customWidth="1"/>
    <col min="3" max="5" width="15.6640625" customWidth="1"/>
  </cols>
  <sheetData>
    <row r="1" spans="1:5" x14ac:dyDescent="0.3">
      <c r="A1" s="235" t="s">
        <v>279</v>
      </c>
      <c r="B1" s="2"/>
      <c r="C1" s="2"/>
      <c r="D1" s="2"/>
      <c r="E1" s="2"/>
    </row>
    <row r="2" spans="1:5" ht="15" thickBot="1" x14ac:dyDescent="0.35">
      <c r="A2" s="235" t="s">
        <v>277</v>
      </c>
      <c r="B2" s="1"/>
      <c r="C2" s="1"/>
      <c r="D2" s="1"/>
      <c r="E2" s="1"/>
    </row>
    <row r="3" spans="1:5" ht="27" thickBot="1" x14ac:dyDescent="0.35">
      <c r="A3" s="109" t="s">
        <v>118</v>
      </c>
      <c r="B3" s="109" t="s">
        <v>166</v>
      </c>
      <c r="C3" s="109" t="s">
        <v>130</v>
      </c>
      <c r="D3" s="109" t="s">
        <v>131</v>
      </c>
      <c r="E3" s="109" t="s">
        <v>132</v>
      </c>
    </row>
    <row r="4" spans="1:5" ht="21" customHeight="1" x14ac:dyDescent="0.3">
      <c r="A4" s="2" t="s">
        <v>1</v>
      </c>
      <c r="B4" s="103" t="s">
        <v>141</v>
      </c>
      <c r="C4" s="14">
        <v>0</v>
      </c>
      <c r="D4" s="121">
        <v>0</v>
      </c>
      <c r="E4" s="104">
        <f>+'Data Summary'!D31</f>
        <v>123388587</v>
      </c>
    </row>
    <row r="5" spans="1:5" ht="15" customHeight="1" x14ac:dyDescent="0.3">
      <c r="A5" s="2" t="s">
        <v>3</v>
      </c>
      <c r="B5" s="113"/>
      <c r="C5" s="113"/>
      <c r="D5" s="122"/>
      <c r="E5" s="60"/>
    </row>
    <row r="6" spans="1:5" ht="15" customHeight="1" x14ac:dyDescent="0.3">
      <c r="A6" s="2" t="s">
        <v>4</v>
      </c>
      <c r="B6" s="151" t="s">
        <v>142</v>
      </c>
      <c r="C6" s="113"/>
      <c r="D6" s="122"/>
      <c r="E6" s="60"/>
    </row>
    <row r="7" spans="1:5" ht="16.5" customHeight="1" x14ac:dyDescent="0.3">
      <c r="A7" s="2" t="s">
        <v>6</v>
      </c>
      <c r="B7" s="110" t="s">
        <v>133</v>
      </c>
      <c r="C7" s="104">
        <v>228183</v>
      </c>
      <c r="D7" s="123">
        <v>0</v>
      </c>
      <c r="E7" s="14">
        <f>-C7</f>
        <v>-228183</v>
      </c>
    </row>
    <row r="8" spans="1:5" ht="15" customHeight="1" x14ac:dyDescent="0.3">
      <c r="A8" s="2" t="s">
        <v>7</v>
      </c>
      <c r="B8" s="110"/>
      <c r="C8" s="105"/>
      <c r="D8" s="123">
        <v>0</v>
      </c>
      <c r="E8" s="14">
        <v>0</v>
      </c>
    </row>
    <row r="9" spans="1:5" ht="16.5" customHeight="1" x14ac:dyDescent="0.3">
      <c r="A9" s="2" t="s">
        <v>9</v>
      </c>
      <c r="B9" s="114" t="s">
        <v>134</v>
      </c>
      <c r="C9" s="105">
        <v>151224</v>
      </c>
      <c r="D9" s="123">
        <v>0</v>
      </c>
      <c r="E9" s="14">
        <v>0</v>
      </c>
    </row>
    <row r="10" spans="1:5" ht="16.5" customHeight="1" x14ac:dyDescent="0.3">
      <c r="A10" s="2" t="s">
        <v>10</v>
      </c>
      <c r="B10" s="114" t="s">
        <v>135</v>
      </c>
      <c r="C10" s="107">
        <v>1982841</v>
      </c>
      <c r="D10" s="123">
        <v>0</v>
      </c>
      <c r="E10" s="14"/>
    </row>
    <row r="11" spans="1:5" ht="16.5" customHeight="1" x14ac:dyDescent="0.3">
      <c r="A11" s="2" t="s">
        <v>12</v>
      </c>
      <c r="B11" s="115" t="s">
        <v>136</v>
      </c>
      <c r="C11" s="117">
        <f>+C9+C10</f>
        <v>2134065</v>
      </c>
      <c r="D11" s="122"/>
      <c r="E11" s="118">
        <f>-C11</f>
        <v>-2134065</v>
      </c>
    </row>
    <row r="12" spans="1:5" ht="15" customHeight="1" x14ac:dyDescent="0.3">
      <c r="A12" s="2" t="s">
        <v>13</v>
      </c>
      <c r="B12" s="106"/>
      <c r="C12" s="106"/>
      <c r="D12" s="124"/>
    </row>
    <row r="13" spans="1:5" ht="16.5" customHeight="1" x14ac:dyDescent="0.3">
      <c r="A13" s="2" t="s">
        <v>14</v>
      </c>
      <c r="B13" s="110" t="s">
        <v>137</v>
      </c>
      <c r="C13" s="104">
        <v>449574</v>
      </c>
      <c r="D13" s="123">
        <v>0</v>
      </c>
      <c r="E13" s="14">
        <v>-449574</v>
      </c>
    </row>
    <row r="14" spans="1:5" ht="15" customHeight="1" x14ac:dyDescent="0.3">
      <c r="A14" s="2" t="s">
        <v>15</v>
      </c>
      <c r="D14" s="124"/>
    </row>
    <row r="15" spans="1:5" ht="15" customHeight="1" x14ac:dyDescent="0.3">
      <c r="A15" s="2" t="s">
        <v>17</v>
      </c>
      <c r="B15" s="16" t="s">
        <v>71</v>
      </c>
      <c r="C15" s="15" t="s">
        <v>0</v>
      </c>
      <c r="D15" s="123">
        <v>0</v>
      </c>
      <c r="E15" s="14">
        <v>0</v>
      </c>
    </row>
    <row r="16" spans="1:5" ht="16.5" customHeight="1" x14ac:dyDescent="0.3">
      <c r="A16" s="2" t="s">
        <v>18</v>
      </c>
      <c r="B16" s="22" t="s">
        <v>138</v>
      </c>
      <c r="C16" s="14">
        <v>623574</v>
      </c>
      <c r="D16" s="123">
        <v>0</v>
      </c>
      <c r="E16" s="14">
        <v>0</v>
      </c>
    </row>
    <row r="17" spans="1:5" ht="15" customHeight="1" x14ac:dyDescent="0.3">
      <c r="A17" s="2" t="s">
        <v>20</v>
      </c>
      <c r="D17" s="124"/>
    </row>
    <row r="18" spans="1:5" ht="16.5" customHeight="1" x14ac:dyDescent="0.3">
      <c r="A18" s="2" t="s">
        <v>21</v>
      </c>
      <c r="B18" s="22" t="s">
        <v>139</v>
      </c>
      <c r="C18" s="14">
        <v>2029976</v>
      </c>
      <c r="D18" s="123">
        <v>0</v>
      </c>
      <c r="E18" s="14">
        <v>0</v>
      </c>
    </row>
    <row r="19" spans="1:5" ht="15" customHeight="1" x14ac:dyDescent="0.3">
      <c r="A19" s="2" t="s">
        <v>23</v>
      </c>
      <c r="D19" s="124"/>
    </row>
    <row r="20" spans="1:5" ht="16.5" customHeight="1" x14ac:dyDescent="0.3">
      <c r="A20" s="2" t="s">
        <v>24</v>
      </c>
      <c r="B20" s="22" t="s">
        <v>140</v>
      </c>
      <c r="C20" s="107">
        <f>+C24-C7-C11-C13-C16-C18</f>
        <v>408253</v>
      </c>
      <c r="D20" s="123">
        <v>0</v>
      </c>
      <c r="E20" s="14">
        <v>0</v>
      </c>
    </row>
    <row r="21" spans="1:5" ht="15" customHeight="1" x14ac:dyDescent="0.3">
      <c r="A21" s="2" t="s">
        <v>26</v>
      </c>
      <c r="C21" s="108"/>
      <c r="D21" s="124"/>
    </row>
    <row r="22" spans="1:5" ht="15" customHeight="1" x14ac:dyDescent="0.3">
      <c r="A22" s="2" t="s">
        <v>27</v>
      </c>
      <c r="B22" s="16" t="s">
        <v>72</v>
      </c>
      <c r="C22" s="107">
        <f>+C16+C18+C20</f>
        <v>3061803</v>
      </c>
      <c r="D22" s="123">
        <v>0</v>
      </c>
      <c r="E22" s="107">
        <v>-3061803</v>
      </c>
    </row>
    <row r="23" spans="1:5" ht="15" customHeight="1" x14ac:dyDescent="0.3">
      <c r="A23" s="2" t="s">
        <v>28</v>
      </c>
      <c r="D23" s="124"/>
    </row>
    <row r="24" spans="1:5" ht="16.5" customHeight="1" thickBot="1" x14ac:dyDescent="0.35">
      <c r="A24" s="2" t="s">
        <v>29</v>
      </c>
      <c r="B24" s="103" t="s">
        <v>143</v>
      </c>
      <c r="C24" s="111">
        <f>+'Data Summary'!C41</f>
        <v>5873625</v>
      </c>
      <c r="D24" s="123">
        <v>0</v>
      </c>
      <c r="E24" s="14">
        <v>0</v>
      </c>
    </row>
    <row r="25" spans="1:5" ht="15" customHeight="1" thickTop="1" x14ac:dyDescent="0.3">
      <c r="A25" s="2" t="s">
        <v>31</v>
      </c>
      <c r="D25" s="124"/>
    </row>
    <row r="26" spans="1:5" ht="15" customHeight="1" x14ac:dyDescent="0.3">
      <c r="A26" s="2" t="s">
        <v>32</v>
      </c>
      <c r="B26" s="10" t="s">
        <v>144</v>
      </c>
      <c r="C26" s="14">
        <v>0</v>
      </c>
      <c r="D26" s="123">
        <v>0</v>
      </c>
      <c r="E26" s="104">
        <f>+E4+E7+E11+E13+E22</f>
        <v>117514962</v>
      </c>
    </row>
    <row r="27" spans="1:5" ht="15" customHeight="1" x14ac:dyDescent="0.3">
      <c r="A27" s="2" t="s">
        <v>34</v>
      </c>
      <c r="D27" s="124"/>
    </row>
    <row r="28" spans="1:5" ht="16.5" customHeight="1" x14ac:dyDescent="0.3">
      <c r="A28" s="2" t="s">
        <v>35</v>
      </c>
      <c r="B28" s="152" t="s">
        <v>171</v>
      </c>
      <c r="C28" s="120" t="s">
        <v>0</v>
      </c>
      <c r="D28" s="123">
        <v>0</v>
      </c>
      <c r="E28" s="14">
        <v>0</v>
      </c>
    </row>
    <row r="29" spans="1:5" ht="15" customHeight="1" x14ac:dyDescent="0.3">
      <c r="A29" s="2" t="s">
        <v>37</v>
      </c>
      <c r="B29" s="110" t="s">
        <v>145</v>
      </c>
      <c r="C29" s="120"/>
      <c r="D29" s="123"/>
      <c r="E29" s="14"/>
    </row>
    <row r="30" spans="1:5" ht="15" customHeight="1" x14ac:dyDescent="0.3">
      <c r="A30" s="2" t="s">
        <v>38</v>
      </c>
      <c r="B30" s="114" t="s">
        <v>75</v>
      </c>
      <c r="C30" s="104">
        <v>0</v>
      </c>
      <c r="D30" s="123">
        <v>1586287.5993754233</v>
      </c>
      <c r="E30" s="14">
        <v>0</v>
      </c>
    </row>
    <row r="31" spans="1:5" ht="15" customHeight="1" x14ac:dyDescent="0.3">
      <c r="A31" s="2" t="s">
        <v>40</v>
      </c>
      <c r="B31" s="22" t="s">
        <v>76</v>
      </c>
      <c r="C31" s="14">
        <v>0</v>
      </c>
      <c r="D31" s="123">
        <v>2494087.7276207823</v>
      </c>
      <c r="E31" s="14">
        <v>0</v>
      </c>
    </row>
    <row r="32" spans="1:5" ht="15" customHeight="1" x14ac:dyDescent="0.3">
      <c r="A32" s="2" t="s">
        <v>41</v>
      </c>
      <c r="B32" s="114" t="s">
        <v>77</v>
      </c>
      <c r="C32" s="105">
        <v>0</v>
      </c>
      <c r="D32" s="125">
        <v>100350722.4190038</v>
      </c>
      <c r="E32" s="14">
        <v>0</v>
      </c>
    </row>
    <row r="33" spans="1:5" ht="16.5" customHeight="1" x14ac:dyDescent="0.3">
      <c r="A33" s="2" t="s">
        <v>43</v>
      </c>
      <c r="B33" s="110" t="s">
        <v>148</v>
      </c>
      <c r="C33" s="104">
        <v>0</v>
      </c>
      <c r="D33" s="123">
        <f>+D30+D31+D32</f>
        <v>104431097.74600001</v>
      </c>
      <c r="E33" s="14">
        <v>0</v>
      </c>
    </row>
    <row r="34" spans="1:5" ht="15" customHeight="1" x14ac:dyDescent="0.3">
      <c r="A34" s="2" t="s">
        <v>44</v>
      </c>
      <c r="B34" s="106"/>
      <c r="C34" s="106"/>
      <c r="D34" s="124"/>
    </row>
    <row r="35" spans="1:5" ht="15" customHeight="1" x14ac:dyDescent="0.3">
      <c r="A35" s="2" t="s">
        <v>46</v>
      </c>
      <c r="B35" s="110" t="s">
        <v>146</v>
      </c>
      <c r="C35" s="106"/>
      <c r="D35" s="124"/>
    </row>
    <row r="36" spans="1:5" ht="15" customHeight="1" x14ac:dyDescent="0.3">
      <c r="A36" s="2" t="s">
        <v>47</v>
      </c>
      <c r="B36" s="114" t="s">
        <v>75</v>
      </c>
      <c r="C36" s="104">
        <v>0</v>
      </c>
      <c r="D36" s="123">
        <v>5599476.3389999997</v>
      </c>
      <c r="E36" s="14">
        <v>0</v>
      </c>
    </row>
    <row r="37" spans="1:5" ht="15" customHeight="1" x14ac:dyDescent="0.3">
      <c r="A37" s="2" t="s">
        <v>49</v>
      </c>
      <c r="B37" s="114" t="s">
        <v>76</v>
      </c>
      <c r="C37" s="105">
        <v>0</v>
      </c>
      <c r="D37" s="125">
        <v>9.9999999999999995E-7</v>
      </c>
      <c r="E37" s="14">
        <v>0</v>
      </c>
    </row>
    <row r="38" spans="1:5" ht="16.5" customHeight="1" x14ac:dyDescent="0.3">
      <c r="A38" s="2" t="s">
        <v>50</v>
      </c>
      <c r="B38" s="110" t="s">
        <v>149</v>
      </c>
      <c r="C38" s="104">
        <v>0</v>
      </c>
      <c r="D38" s="126">
        <v>5599476.3390009999</v>
      </c>
      <c r="E38" s="14">
        <v>0</v>
      </c>
    </row>
    <row r="39" spans="1:5" ht="15" customHeight="1" x14ac:dyDescent="0.3">
      <c r="A39" s="2" t="s">
        <v>52</v>
      </c>
      <c r="D39" s="124"/>
    </row>
    <row r="40" spans="1:5" ht="16.5" customHeight="1" thickBot="1" x14ac:dyDescent="0.35">
      <c r="A40" s="2" t="s">
        <v>53</v>
      </c>
      <c r="B40" s="10" t="s">
        <v>150</v>
      </c>
      <c r="C40" s="14">
        <v>0</v>
      </c>
      <c r="D40" s="127">
        <f>+D33+D38</f>
        <v>110030574.08500101</v>
      </c>
      <c r="E40" s="14">
        <v>-110030574.08500101</v>
      </c>
    </row>
    <row r="41" spans="1:5" ht="15" customHeight="1" thickTop="1" x14ac:dyDescent="0.3">
      <c r="A41" s="2" t="s">
        <v>55</v>
      </c>
      <c r="D41" s="124"/>
    </row>
    <row r="42" spans="1:5" ht="16.5" customHeight="1" x14ac:dyDescent="0.3">
      <c r="A42" s="2" t="s">
        <v>56</v>
      </c>
      <c r="B42" s="103" t="s">
        <v>151</v>
      </c>
      <c r="C42" s="105">
        <v>0</v>
      </c>
      <c r="D42" s="123">
        <v>0</v>
      </c>
      <c r="E42" s="105">
        <v>-123235</v>
      </c>
    </row>
    <row r="43" spans="1:5" ht="15" customHeight="1" x14ac:dyDescent="0.3">
      <c r="A43" s="2" t="s">
        <v>58</v>
      </c>
      <c r="D43" s="124"/>
    </row>
    <row r="44" spans="1:5" ht="16.5" customHeight="1" x14ac:dyDescent="0.3">
      <c r="A44" s="2" t="s">
        <v>59</v>
      </c>
      <c r="B44" s="17" t="s">
        <v>152</v>
      </c>
      <c r="C44" s="14">
        <v>0</v>
      </c>
      <c r="D44" s="123">
        <v>0</v>
      </c>
      <c r="E44" s="14">
        <v>-7361153</v>
      </c>
    </row>
    <row r="45" spans="1:5" ht="15" customHeight="1" thickBot="1" x14ac:dyDescent="0.35">
      <c r="A45" s="2" t="s">
        <v>61</v>
      </c>
      <c r="D45" s="124"/>
    </row>
    <row r="46" spans="1:5" ht="15" customHeight="1" thickBot="1" x14ac:dyDescent="0.35">
      <c r="A46" s="2" t="s">
        <v>62</v>
      </c>
      <c r="B46" s="10" t="s">
        <v>147</v>
      </c>
      <c r="C46" s="14">
        <v>0</v>
      </c>
      <c r="D46" s="123">
        <v>0</v>
      </c>
      <c r="E46" s="18">
        <f>+E26+E40+E42+E44</f>
        <v>-8.5001006722450256E-2</v>
      </c>
    </row>
    <row r="47" spans="1:5" ht="15" customHeight="1" thickTop="1" x14ac:dyDescent="0.3">
      <c r="A47" s="2"/>
      <c r="B47" s="10"/>
      <c r="C47" s="14"/>
      <c r="D47" s="147"/>
      <c r="E47" s="105"/>
    </row>
    <row r="48" spans="1:5" ht="15" customHeight="1" thickBot="1" x14ac:dyDescent="0.35">
      <c r="A48" s="128"/>
      <c r="B48" s="129"/>
      <c r="C48" s="130"/>
      <c r="D48" s="131"/>
      <c r="E48" s="130"/>
    </row>
    <row r="49" spans="1:7" ht="15" customHeight="1" x14ac:dyDescent="0.3">
      <c r="A49" s="119"/>
      <c r="B49" s="103"/>
      <c r="C49" s="105"/>
      <c r="D49" s="105"/>
      <c r="E49" s="105"/>
    </row>
    <row r="50" spans="1:7" ht="15" customHeight="1" x14ac:dyDescent="0.3">
      <c r="A50" s="2"/>
      <c r="B50" s="10"/>
      <c r="C50" s="14"/>
      <c r="D50" s="105"/>
      <c r="E50" s="105"/>
    </row>
    <row r="51" spans="1:7" ht="15" customHeight="1" x14ac:dyDescent="0.3">
      <c r="A51" s="2" t="s">
        <v>112</v>
      </c>
      <c r="B51" s="19" t="s">
        <v>161</v>
      </c>
    </row>
    <row r="52" spans="1:7" x14ac:dyDescent="0.3">
      <c r="A52" s="2" t="s">
        <v>113</v>
      </c>
      <c r="B52" s="19" t="s">
        <v>162</v>
      </c>
    </row>
    <row r="53" spans="1:7" x14ac:dyDescent="0.3">
      <c r="A53" s="119" t="s">
        <v>114</v>
      </c>
      <c r="B53" s="146" t="s">
        <v>167</v>
      </c>
      <c r="C53" s="106"/>
      <c r="D53" s="106"/>
      <c r="E53" s="106"/>
      <c r="F53" s="106"/>
      <c r="G53" s="106"/>
    </row>
    <row r="54" spans="1:7" x14ac:dyDescent="0.3">
      <c r="A54" s="2" t="s">
        <v>158</v>
      </c>
      <c r="B54" s="19" t="s">
        <v>163</v>
      </c>
    </row>
    <row r="55" spans="1:7" x14ac:dyDescent="0.3">
      <c r="A55" s="2" t="s">
        <v>159</v>
      </c>
      <c r="B55" s="19" t="s">
        <v>164</v>
      </c>
    </row>
    <row r="56" spans="1:7" x14ac:dyDescent="0.3">
      <c r="A56" s="2" t="s">
        <v>160</v>
      </c>
      <c r="B56" s="19" t="s">
        <v>165</v>
      </c>
    </row>
    <row r="57" spans="1:7" x14ac:dyDescent="0.3">
      <c r="A57" s="2"/>
    </row>
    <row r="58" spans="1:7" x14ac:dyDescent="0.3">
      <c r="A58" s="2"/>
    </row>
    <row r="59" spans="1:7" x14ac:dyDescent="0.3">
      <c r="A59" s="2"/>
    </row>
    <row r="60" spans="1:7" x14ac:dyDescent="0.3">
      <c r="A60" s="2"/>
      <c r="B60" s="19"/>
    </row>
    <row r="61" spans="1:7" x14ac:dyDescent="0.3">
      <c r="A61" s="2"/>
      <c r="B61" s="19"/>
    </row>
    <row r="62" spans="1:7" x14ac:dyDescent="0.3">
      <c r="A62" s="2"/>
    </row>
    <row r="63" spans="1:7" x14ac:dyDescent="0.3">
      <c r="A63" s="2"/>
      <c r="B63" s="19"/>
    </row>
    <row r="64" spans="1:7" x14ac:dyDescent="0.3">
      <c r="A64" s="2"/>
      <c r="B64" s="19"/>
    </row>
    <row r="65" spans="1:2" x14ac:dyDescent="0.3">
      <c r="A65" s="2"/>
      <c r="B65" s="19"/>
    </row>
    <row r="66" spans="1:2" x14ac:dyDescent="0.3">
      <c r="A66" s="2"/>
      <c r="B66" s="19"/>
    </row>
    <row r="67" spans="1:2" x14ac:dyDescent="0.3">
      <c r="A67" s="2"/>
    </row>
    <row r="68" spans="1:2" x14ac:dyDescent="0.3">
      <c r="A68" s="2"/>
      <c r="B68" s="19"/>
    </row>
    <row r="69" spans="1:2" x14ac:dyDescent="0.3">
      <c r="A69" s="2"/>
    </row>
    <row r="70" spans="1:2" x14ac:dyDescent="0.3">
      <c r="A70" s="2"/>
    </row>
    <row r="71" spans="1:2" x14ac:dyDescent="0.3">
      <c r="A71" s="2"/>
    </row>
    <row r="72" spans="1:2" x14ac:dyDescent="0.3">
      <c r="A72" s="2"/>
    </row>
    <row r="73" spans="1:2" x14ac:dyDescent="0.3">
      <c r="A73" s="2"/>
    </row>
    <row r="74" spans="1:2" x14ac:dyDescent="0.3">
      <c r="A74" s="2"/>
    </row>
    <row r="75" spans="1:2" x14ac:dyDescent="0.3">
      <c r="A75" s="2"/>
    </row>
    <row r="76" spans="1:2" x14ac:dyDescent="0.3">
      <c r="A76" s="2"/>
    </row>
    <row r="77" spans="1:2" x14ac:dyDescent="0.3">
      <c r="A77" s="2"/>
    </row>
    <row r="78" spans="1:2" x14ac:dyDescent="0.3">
      <c r="A78" s="2"/>
    </row>
    <row r="79" spans="1:2" x14ac:dyDescent="0.3">
      <c r="A79" s="2"/>
    </row>
    <row r="80" spans="1:2"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sheetData>
  <printOptions horizontalCentered="1"/>
  <pageMargins left="0.75" right="0.5" top="1.25" bottom="0.5" header="0.5" footer="0.3"/>
  <pageSetup scale="75" orientation="portrait" r:id="rId1"/>
  <headerFooter>
    <oddHeader>&amp;C&amp;"Arial,Bold"&amp;10 LINE LOSS STUDY - 2014 ACTUALS
Florida Power &amp; Light Company
Energy Losses, Sales, Company Use and Wheeling
For The Year Ended December 2014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48"/>
  <sheetViews>
    <sheetView showGridLines="0" showZeros="0" workbookViewId="0">
      <pane xSplit="2" ySplit="3" topLeftCell="C19"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5.6640625" customWidth="1"/>
    <col min="2" max="2" width="55.33203125" bestFit="1" customWidth="1"/>
    <col min="3" max="3" width="12.44140625" bestFit="1" customWidth="1"/>
    <col min="4" max="6" width="13.6640625" customWidth="1"/>
    <col min="7" max="7" width="9.88671875" bestFit="1" customWidth="1"/>
  </cols>
  <sheetData>
    <row r="1" spans="1:6" x14ac:dyDescent="0.3">
      <c r="A1" s="235" t="s">
        <v>280</v>
      </c>
      <c r="B1" s="2"/>
      <c r="C1" s="2"/>
      <c r="D1" s="2"/>
      <c r="E1" s="2"/>
    </row>
    <row r="2" spans="1:6" ht="15" thickBot="1" x14ac:dyDescent="0.35">
      <c r="A2" s="235" t="s">
        <v>277</v>
      </c>
      <c r="B2" s="1"/>
      <c r="C2" s="1"/>
      <c r="D2" s="1"/>
      <c r="E2" s="1"/>
    </row>
    <row r="3" spans="1:6" ht="27" thickBot="1" x14ac:dyDescent="0.35">
      <c r="A3" s="94" t="s">
        <v>118</v>
      </c>
      <c r="B3" s="94"/>
      <c r="C3" s="94" t="s">
        <v>0</v>
      </c>
      <c r="D3" s="94"/>
      <c r="E3" s="94"/>
      <c r="F3" s="94"/>
    </row>
    <row r="4" spans="1:6" ht="18" customHeight="1" x14ac:dyDescent="0.3">
      <c r="A4" s="157"/>
      <c r="B4" s="157"/>
      <c r="C4" s="157"/>
      <c r="D4" s="234" t="s">
        <v>182</v>
      </c>
      <c r="E4" s="234"/>
      <c r="F4" s="163" t="s">
        <v>102</v>
      </c>
    </row>
    <row r="5" spans="1:6" ht="15" customHeight="1" thickBot="1" x14ac:dyDescent="0.35">
      <c r="A5" s="2" t="s">
        <v>1</v>
      </c>
      <c r="D5" s="158" t="s">
        <v>102</v>
      </c>
      <c r="E5" s="159" t="s">
        <v>103</v>
      </c>
      <c r="F5" s="159" t="s">
        <v>120</v>
      </c>
    </row>
    <row r="6" spans="1:6" x14ac:dyDescent="0.3">
      <c r="A6" s="2" t="s">
        <v>3</v>
      </c>
      <c r="B6" s="10" t="s">
        <v>75</v>
      </c>
      <c r="C6" s="14">
        <v>0</v>
      </c>
      <c r="D6" s="161">
        <f>+'Loss Expansion Factors - Energy'!F20</f>
        <v>1.0182461500731781</v>
      </c>
      <c r="E6" s="161">
        <f>+'Loss Expansion Factors - Demand'!G14</f>
        <v>1.0230839872669728</v>
      </c>
      <c r="F6" s="160">
        <f>+'Loss Expansion Factors - Energy'!G20</f>
        <v>1.791919377438039E-2</v>
      </c>
    </row>
    <row r="7" spans="1:6" x14ac:dyDescent="0.3">
      <c r="A7" s="2" t="s">
        <v>4</v>
      </c>
      <c r="D7" s="162"/>
      <c r="E7" s="162"/>
      <c r="F7" s="59"/>
    </row>
    <row r="8" spans="1:6" x14ac:dyDescent="0.3">
      <c r="A8" s="2" t="s">
        <v>6</v>
      </c>
      <c r="B8" s="10" t="s">
        <v>76</v>
      </c>
      <c r="C8" s="14">
        <v>0</v>
      </c>
      <c r="D8" s="161">
        <f>+'Loss Expansion Factors - Energy'!F36</f>
        <v>1.0286129790801486</v>
      </c>
      <c r="E8" s="161">
        <f>+'Loss Expansion Factors - Demand'!G26</f>
        <v>1.036779223962337</v>
      </c>
      <c r="F8" s="160">
        <f>+'Loss Expansion Factors - Energy'!G36</f>
        <v>2.7817050399010272E-2</v>
      </c>
    </row>
    <row r="9" spans="1:6" x14ac:dyDescent="0.3">
      <c r="A9" s="2" t="s">
        <v>7</v>
      </c>
      <c r="D9" s="162"/>
      <c r="E9" s="162"/>
      <c r="F9" s="59"/>
    </row>
    <row r="10" spans="1:6" x14ac:dyDescent="0.3">
      <c r="A10" s="2" t="s">
        <v>9</v>
      </c>
      <c r="B10" s="10" t="s">
        <v>77</v>
      </c>
      <c r="C10" s="14">
        <v>0</v>
      </c>
      <c r="D10" s="161">
        <f>+'Loss Expansion Factors - Energy'!F50</f>
        <v>1.0535746115460856</v>
      </c>
      <c r="E10" s="161">
        <f>+'Loss Expansion Factors - Demand'!G40</f>
        <v>1.0699729449745548</v>
      </c>
      <c r="F10" s="160">
        <f>+'Loss Expansion Factors - Energy'!G50</f>
        <v>5.0850325130240757E-2</v>
      </c>
    </row>
    <row r="11" spans="1:6" x14ac:dyDescent="0.3">
      <c r="A11" s="154" t="s">
        <v>10</v>
      </c>
      <c r="B11" s="155"/>
      <c r="C11" s="155"/>
      <c r="D11" s="155"/>
      <c r="E11" s="155"/>
      <c r="F11" s="155"/>
    </row>
    <row r="12" spans="1:6" x14ac:dyDescent="0.3">
      <c r="A12" s="2" t="s">
        <v>12</v>
      </c>
    </row>
    <row r="13" spans="1:6" x14ac:dyDescent="0.3">
      <c r="A13" s="2" t="s">
        <v>13</v>
      </c>
      <c r="B13" s="21" t="s">
        <v>168</v>
      </c>
      <c r="C13" s="15" t="s">
        <v>0</v>
      </c>
      <c r="D13" s="12">
        <v>0</v>
      </c>
      <c r="E13" s="12">
        <v>0</v>
      </c>
      <c r="F13" s="20">
        <v>0</v>
      </c>
    </row>
    <row r="14" spans="1:6" x14ac:dyDescent="0.3">
      <c r="A14" s="2" t="s">
        <v>14</v>
      </c>
      <c r="B14" s="16" t="s">
        <v>186</v>
      </c>
      <c r="C14" s="227">
        <v>3826.2242500000002</v>
      </c>
      <c r="D14" s="12">
        <v>0</v>
      </c>
      <c r="E14" s="12">
        <v>0</v>
      </c>
      <c r="F14" s="20">
        <v>0</v>
      </c>
    </row>
    <row r="15" spans="1:6" x14ac:dyDescent="0.3">
      <c r="A15" s="2" t="s">
        <v>15</v>
      </c>
      <c r="B15" s="16" t="s">
        <v>169</v>
      </c>
      <c r="C15" s="227">
        <v>25147188.64039357</v>
      </c>
      <c r="D15" s="148"/>
      <c r="E15" s="12">
        <v>0</v>
      </c>
      <c r="F15" s="20">
        <v>0</v>
      </c>
    </row>
    <row r="16" spans="1:6" x14ac:dyDescent="0.3">
      <c r="A16" s="2" t="s">
        <v>17</v>
      </c>
      <c r="B16" s="16" t="s">
        <v>189</v>
      </c>
      <c r="C16" s="149">
        <f>+C15/8760/C14</f>
        <v>0.75026539146212468</v>
      </c>
      <c r="D16" s="12"/>
      <c r="E16" s="12">
        <v>0</v>
      </c>
      <c r="F16" s="20">
        <v>0</v>
      </c>
    </row>
    <row r="17" spans="1:10" ht="15" thickBot="1" x14ac:dyDescent="0.35">
      <c r="A17" s="2" t="s">
        <v>18</v>
      </c>
      <c r="B17" s="103" t="s">
        <v>170</v>
      </c>
      <c r="C17" s="150">
        <f>-'Losses, Sales &amp; Co Use'!E42/8760/'Data Summary'!C16</f>
        <v>18.750594835533484</v>
      </c>
      <c r="D17" s="12"/>
      <c r="E17" s="12">
        <v>0</v>
      </c>
      <c r="F17" s="20">
        <v>0</v>
      </c>
    </row>
    <row r="18" spans="1:10" ht="15" thickTop="1" x14ac:dyDescent="0.3">
      <c r="A18" s="154" t="s">
        <v>20</v>
      </c>
      <c r="B18" s="155"/>
      <c r="C18" s="155"/>
      <c r="D18" s="155"/>
      <c r="E18" s="155"/>
      <c r="F18" s="155"/>
    </row>
    <row r="19" spans="1:10" x14ac:dyDescent="0.3">
      <c r="A19" s="2" t="s">
        <v>21</v>
      </c>
    </row>
    <row r="20" spans="1:10" x14ac:dyDescent="0.3">
      <c r="A20" s="2" t="s">
        <v>23</v>
      </c>
      <c r="B20" s="152" t="s">
        <v>187</v>
      </c>
      <c r="C20" s="15"/>
      <c r="D20" s="12"/>
      <c r="E20" s="12">
        <v>0</v>
      </c>
      <c r="F20" s="20">
        <v>0</v>
      </c>
    </row>
    <row r="21" spans="1:10" x14ac:dyDescent="0.3">
      <c r="A21" s="2" t="s">
        <v>24</v>
      </c>
      <c r="B21" s="10" t="s">
        <v>179</v>
      </c>
      <c r="D21" s="14">
        <v>116027434</v>
      </c>
      <c r="E21" s="12">
        <v>0</v>
      </c>
      <c r="F21" s="20">
        <v>0</v>
      </c>
    </row>
    <row r="22" spans="1:10" x14ac:dyDescent="0.3">
      <c r="A22" s="2" t="s">
        <v>26</v>
      </c>
    </row>
    <row r="23" spans="1:10" x14ac:dyDescent="0.3">
      <c r="A23" s="2" t="s">
        <v>27</v>
      </c>
      <c r="B23" s="22" t="s">
        <v>173</v>
      </c>
      <c r="C23" s="14">
        <v>2282100</v>
      </c>
      <c r="D23" s="12">
        <v>0</v>
      </c>
      <c r="E23" s="12">
        <v>0</v>
      </c>
      <c r="F23" s="20">
        <v>0</v>
      </c>
      <c r="G23" s="116"/>
      <c r="H23" s="69"/>
      <c r="J23" s="116"/>
    </row>
    <row r="24" spans="1:10" x14ac:dyDescent="0.3">
      <c r="A24" s="2" t="s">
        <v>28</v>
      </c>
      <c r="B24" s="22" t="s">
        <v>174</v>
      </c>
      <c r="C24" s="14">
        <v>586976</v>
      </c>
      <c r="D24" s="12">
        <v>0</v>
      </c>
      <c r="E24" s="12">
        <v>0</v>
      </c>
      <c r="F24" s="20">
        <v>0</v>
      </c>
      <c r="G24" s="116"/>
      <c r="H24" s="69"/>
      <c r="J24" s="116"/>
    </row>
    <row r="25" spans="1:10" x14ac:dyDescent="0.3">
      <c r="A25" s="2" t="s">
        <v>29</v>
      </c>
      <c r="B25" s="22" t="s">
        <v>175</v>
      </c>
      <c r="C25" s="14">
        <v>4643301</v>
      </c>
      <c r="D25" s="12">
        <v>0</v>
      </c>
      <c r="E25" s="12">
        <v>0</v>
      </c>
      <c r="F25" s="20">
        <v>0</v>
      </c>
      <c r="G25" s="116"/>
      <c r="H25" s="69"/>
      <c r="J25" s="116"/>
    </row>
    <row r="26" spans="1:10" x14ac:dyDescent="0.3">
      <c r="A26" s="2" t="s">
        <v>31</v>
      </c>
      <c r="B26" s="22" t="s">
        <v>176</v>
      </c>
      <c r="C26" s="14">
        <v>-19451</v>
      </c>
      <c r="D26" s="12">
        <v>0</v>
      </c>
      <c r="E26" s="12">
        <v>0</v>
      </c>
      <c r="F26" s="20">
        <v>0</v>
      </c>
      <c r="J26" s="116"/>
    </row>
    <row r="27" spans="1:10" x14ac:dyDescent="0.3">
      <c r="A27" s="2" t="s">
        <v>32</v>
      </c>
      <c r="B27" s="22" t="s">
        <v>177</v>
      </c>
      <c r="C27" s="14">
        <v>-77259</v>
      </c>
      <c r="D27" s="12">
        <v>0</v>
      </c>
      <c r="E27" s="12">
        <v>0</v>
      </c>
      <c r="F27" s="20">
        <v>0</v>
      </c>
      <c r="H27" s="116"/>
    </row>
    <row r="28" spans="1:10" x14ac:dyDescent="0.3">
      <c r="A28" s="2" t="s">
        <v>34</v>
      </c>
      <c r="B28" s="22" t="s">
        <v>178</v>
      </c>
      <c r="C28" s="14">
        <v>-54514</v>
      </c>
      <c r="D28" s="12">
        <v>0</v>
      </c>
      <c r="E28" s="12">
        <v>0</v>
      </c>
      <c r="F28" s="20">
        <v>0</v>
      </c>
    </row>
    <row r="29" spans="1:10" x14ac:dyDescent="0.3">
      <c r="A29" s="2" t="s">
        <v>35</v>
      </c>
      <c r="B29" s="110" t="s">
        <v>172</v>
      </c>
      <c r="D29" s="112">
        <f>SUM(C23:C28)</f>
        <v>7361153</v>
      </c>
      <c r="E29" s="12">
        <v>0</v>
      </c>
      <c r="F29" s="20">
        <v>0</v>
      </c>
    </row>
    <row r="30" spans="1:10" x14ac:dyDescent="0.3">
      <c r="A30" s="2" t="s">
        <v>37</v>
      </c>
      <c r="J30" s="116"/>
    </row>
    <row r="31" spans="1:10" ht="15" thickBot="1" x14ac:dyDescent="0.35">
      <c r="A31" s="2" t="s">
        <v>38</v>
      </c>
      <c r="B31" s="103" t="s">
        <v>180</v>
      </c>
      <c r="C31" s="104"/>
      <c r="D31" s="111">
        <f>+D21+D29</f>
        <v>123388587</v>
      </c>
      <c r="E31" s="12">
        <v>0</v>
      </c>
      <c r="F31" s="20">
        <v>0</v>
      </c>
    </row>
    <row r="32" spans="1:10" ht="15" thickTop="1" x14ac:dyDescent="0.3">
      <c r="A32" s="154" t="s">
        <v>40</v>
      </c>
      <c r="B32" s="155"/>
      <c r="C32" s="155"/>
      <c r="D32" s="155"/>
      <c r="E32" s="155"/>
      <c r="F32" s="155"/>
    </row>
    <row r="33" spans="1:6" x14ac:dyDescent="0.3">
      <c r="A33" s="2" t="s">
        <v>41</v>
      </c>
    </row>
    <row r="34" spans="1:6" x14ac:dyDescent="0.3">
      <c r="A34" s="2" t="s">
        <v>43</v>
      </c>
      <c r="B34" s="153" t="s">
        <v>188</v>
      </c>
      <c r="C34" s="120" t="s">
        <v>0</v>
      </c>
      <c r="D34" s="12">
        <v>0</v>
      </c>
      <c r="E34" s="12">
        <v>0</v>
      </c>
      <c r="F34" s="20">
        <v>0</v>
      </c>
    </row>
    <row r="35" spans="1:6" x14ac:dyDescent="0.3">
      <c r="A35" s="2" t="s">
        <v>44</v>
      </c>
      <c r="B35" s="10" t="s">
        <v>79</v>
      </c>
      <c r="C35" s="14">
        <v>116027434</v>
      </c>
      <c r="D35" s="12">
        <v>0</v>
      </c>
      <c r="E35" s="12">
        <v>0</v>
      </c>
      <c r="F35" s="20">
        <v>0</v>
      </c>
    </row>
    <row r="36" spans="1:6" x14ac:dyDescent="0.3">
      <c r="A36" s="2" t="s">
        <v>46</v>
      </c>
      <c r="B36" s="10" t="s">
        <v>80</v>
      </c>
      <c r="C36" s="107">
        <v>4167624</v>
      </c>
      <c r="D36" s="12">
        <v>0</v>
      </c>
      <c r="E36" s="12">
        <v>0</v>
      </c>
      <c r="F36" s="20">
        <v>0</v>
      </c>
    </row>
    <row r="37" spans="1:6" x14ac:dyDescent="0.3">
      <c r="A37" s="2" t="s">
        <v>47</v>
      </c>
      <c r="B37" s="10" t="s">
        <v>81</v>
      </c>
      <c r="C37" s="14">
        <f>SUM(C35:C36)</f>
        <v>120195058</v>
      </c>
      <c r="D37" s="12">
        <v>0</v>
      </c>
      <c r="E37" s="12">
        <v>0</v>
      </c>
      <c r="F37" s="20">
        <v>0</v>
      </c>
    </row>
    <row r="38" spans="1:6" x14ac:dyDescent="0.3">
      <c r="A38" s="2" t="s">
        <v>49</v>
      </c>
      <c r="B38" s="10" t="s">
        <v>82</v>
      </c>
      <c r="C38" s="14">
        <v>-109763891</v>
      </c>
      <c r="D38" s="12">
        <v>0</v>
      </c>
      <c r="E38" s="12">
        <v>0</v>
      </c>
      <c r="F38" s="20">
        <v>0</v>
      </c>
    </row>
    <row r="39" spans="1:6" x14ac:dyDescent="0.3">
      <c r="A39" s="2" t="s">
        <v>50</v>
      </c>
      <c r="B39" s="10" t="s">
        <v>83</v>
      </c>
      <c r="C39" s="14">
        <v>-123235</v>
      </c>
      <c r="D39" s="12">
        <v>0</v>
      </c>
      <c r="E39" s="12">
        <v>0</v>
      </c>
      <c r="F39" s="20">
        <v>0</v>
      </c>
    </row>
    <row r="40" spans="1:6" x14ac:dyDescent="0.3">
      <c r="A40" s="2" t="s">
        <v>52</v>
      </c>
      <c r="B40" s="10" t="s">
        <v>84</v>
      </c>
      <c r="C40" s="107">
        <v>-4434307</v>
      </c>
      <c r="D40" s="12">
        <v>0</v>
      </c>
      <c r="E40" s="12">
        <v>0</v>
      </c>
      <c r="F40" s="20">
        <v>0</v>
      </c>
    </row>
    <row r="41" spans="1:6" ht="15" thickBot="1" x14ac:dyDescent="0.35">
      <c r="A41" s="2" t="s">
        <v>53</v>
      </c>
      <c r="B41" s="10" t="s">
        <v>85</v>
      </c>
      <c r="C41" s="150">
        <f>SUM(C37:C40)</f>
        <v>5873625</v>
      </c>
      <c r="D41" s="12">
        <v>0</v>
      </c>
      <c r="E41" s="12">
        <v>0</v>
      </c>
      <c r="F41" s="20">
        <v>0</v>
      </c>
    </row>
    <row r="42" spans="1:6" ht="15" thickTop="1" x14ac:dyDescent="0.3">
      <c r="A42" s="2" t="s">
        <v>55</v>
      </c>
      <c r="B42" s="10" t="s">
        <v>86</v>
      </c>
      <c r="D42" s="23">
        <f>+C41/C35</f>
        <v>5.0622726001162792E-2</v>
      </c>
      <c r="E42" s="12">
        <v>0</v>
      </c>
      <c r="F42" s="20">
        <v>0</v>
      </c>
    </row>
    <row r="43" spans="1:6" x14ac:dyDescent="0.3">
      <c r="A43" s="154" t="s">
        <v>56</v>
      </c>
      <c r="B43" s="155"/>
      <c r="C43" s="155"/>
      <c r="D43" s="155"/>
      <c r="E43" s="155"/>
      <c r="F43" s="155"/>
    </row>
    <row r="44" spans="1:6" x14ac:dyDescent="0.3">
      <c r="A44" s="2" t="s">
        <v>58</v>
      </c>
    </row>
    <row r="45" spans="1:6" x14ac:dyDescent="0.3">
      <c r="A45" s="2" t="s">
        <v>59</v>
      </c>
      <c r="B45" s="21" t="s">
        <v>181</v>
      </c>
      <c r="C45" s="15" t="s">
        <v>0</v>
      </c>
      <c r="D45" s="12">
        <v>0</v>
      </c>
      <c r="E45" s="12">
        <v>0</v>
      </c>
      <c r="F45" s="20">
        <v>0</v>
      </c>
    </row>
    <row r="46" spans="1:6" x14ac:dyDescent="0.3">
      <c r="A46" s="2" t="s">
        <v>61</v>
      </c>
      <c r="B46" s="10" t="s">
        <v>87</v>
      </c>
      <c r="C46" s="14">
        <v>110030574.08499999</v>
      </c>
      <c r="D46" s="12">
        <v>0</v>
      </c>
      <c r="E46" s="12">
        <v>0</v>
      </c>
      <c r="F46" s="20">
        <v>0</v>
      </c>
    </row>
    <row r="47" spans="1:6" x14ac:dyDescent="0.3">
      <c r="A47" s="2" t="s">
        <v>62</v>
      </c>
      <c r="B47" s="10" t="s">
        <v>88</v>
      </c>
      <c r="C47" s="14">
        <v>109763891.08499999</v>
      </c>
      <c r="D47" s="12">
        <v>0</v>
      </c>
      <c r="E47" s="12">
        <v>0</v>
      </c>
      <c r="F47" s="20">
        <v>0</v>
      </c>
    </row>
    <row r="48" spans="1:6" x14ac:dyDescent="0.3">
      <c r="A48" s="2" t="s">
        <v>64</v>
      </c>
      <c r="B48" s="10" t="s">
        <v>89</v>
      </c>
      <c r="C48" s="12">
        <v>1.0024296059238049</v>
      </c>
      <c r="D48" s="12">
        <v>0</v>
      </c>
      <c r="E48" s="12">
        <v>0</v>
      </c>
      <c r="F48" s="20">
        <v>0</v>
      </c>
    </row>
  </sheetData>
  <mergeCells count="1">
    <mergeCell ref="D4:E4"/>
  </mergeCells>
  <printOptions horizontalCentered="1"/>
  <pageMargins left="0.75" right="0.5" top="1.25" bottom="0.5" header="0.5" footer="0.3"/>
  <pageSetup scale="75" orientation="portrait" r:id="rId1"/>
  <headerFooter>
    <oddHeader>&amp;C&amp;"Arial,Bold"&amp;10 LINE LOSS STUDY - 2014 ACTUALS
Florida Power &amp; Light Company
Data Summary
For The Year Ended December 2014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47"/>
  <sheetViews>
    <sheetView showGridLines="0" showZeros="0" workbookViewId="0">
      <pane xSplit="2" ySplit="3" topLeftCell="C4"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5.6640625" customWidth="1"/>
    <col min="2" max="2" width="39" customWidth="1"/>
    <col min="3" max="3" width="12.6640625" customWidth="1"/>
    <col min="4" max="4" width="17.6640625" customWidth="1"/>
    <col min="5" max="7" width="13.6640625" customWidth="1"/>
  </cols>
  <sheetData>
    <row r="1" spans="1:7" x14ac:dyDescent="0.3">
      <c r="A1" s="235" t="s">
        <v>281</v>
      </c>
      <c r="B1" s="2"/>
      <c r="C1" s="2"/>
      <c r="D1" s="2"/>
      <c r="E1" s="2"/>
      <c r="F1" s="2"/>
      <c r="G1" s="2"/>
    </row>
    <row r="2" spans="1:7" ht="15" thickBot="1" x14ac:dyDescent="0.35">
      <c r="A2" s="235" t="s">
        <v>277</v>
      </c>
      <c r="B2" s="1"/>
      <c r="C2" s="1"/>
      <c r="D2" s="1"/>
      <c r="E2" s="1"/>
      <c r="F2" s="1"/>
      <c r="G2" s="1"/>
    </row>
    <row r="3" spans="1:7" ht="42" customHeight="1" thickBot="1" x14ac:dyDescent="0.35">
      <c r="A3" s="94" t="s">
        <v>118</v>
      </c>
      <c r="B3" s="94" t="s">
        <v>128</v>
      </c>
      <c r="C3" s="94" t="s">
        <v>124</v>
      </c>
      <c r="D3" s="94" t="s">
        <v>127</v>
      </c>
      <c r="E3" s="94" t="s">
        <v>125</v>
      </c>
      <c r="F3" s="94" t="s">
        <v>126</v>
      </c>
      <c r="G3" s="94" t="s">
        <v>122</v>
      </c>
    </row>
    <row r="4" spans="1:7" x14ac:dyDescent="0.3">
      <c r="A4" s="168">
        <v>1</v>
      </c>
      <c r="B4" s="10" t="s">
        <v>70</v>
      </c>
      <c r="C4" s="11">
        <v>0</v>
      </c>
      <c r="D4" s="12">
        <v>0</v>
      </c>
      <c r="E4" s="13">
        <f>+E8/(1-(D6/100))</f>
        <v>20051.933286531628</v>
      </c>
      <c r="F4" s="12"/>
      <c r="G4" s="12">
        <v>0</v>
      </c>
    </row>
    <row r="5" spans="1:7" x14ac:dyDescent="0.3">
      <c r="A5" s="168">
        <v>2</v>
      </c>
    </row>
    <row r="6" spans="1:7" x14ac:dyDescent="0.3">
      <c r="A6" s="168">
        <v>3</v>
      </c>
      <c r="B6" s="10" t="s">
        <v>5</v>
      </c>
      <c r="C6" s="11">
        <v>0</v>
      </c>
      <c r="D6" s="12">
        <f>+'Loss Expansion Factors - Energy'!D8*100/(0.3+(0.7*'Loss Expansion Factors - Demand'!C8))</f>
        <v>0.23351166635351528</v>
      </c>
      <c r="E6" s="5">
        <f>+E8-E4</f>
        <v>-46.82360355347555</v>
      </c>
      <c r="F6" s="100">
        <f>+E4/E8</f>
        <v>1.0023405821960234</v>
      </c>
      <c r="G6" s="12">
        <v>0</v>
      </c>
    </row>
    <row r="7" spans="1:7" x14ac:dyDescent="0.3">
      <c r="A7" s="168">
        <v>4</v>
      </c>
    </row>
    <row r="8" spans="1:7" x14ac:dyDescent="0.3">
      <c r="A8" s="168">
        <v>5</v>
      </c>
      <c r="B8" s="10" t="s">
        <v>8</v>
      </c>
      <c r="C8" s="11">
        <f>+'Loss Expansion Factors - Energy'!C10/'Loss Expansion Factors - Demand'!E8/8760</f>
        <v>0.70279079055876748</v>
      </c>
      <c r="D8" s="12">
        <v>0</v>
      </c>
      <c r="E8" s="13">
        <f>+E12/(1-(D10/100))</f>
        <v>20005.109682978153</v>
      </c>
      <c r="F8" s="12"/>
      <c r="G8" s="12">
        <v>0</v>
      </c>
    </row>
    <row r="9" spans="1:7" x14ac:dyDescent="0.3">
      <c r="A9" s="168">
        <v>6</v>
      </c>
    </row>
    <row r="10" spans="1:7" x14ac:dyDescent="0.3">
      <c r="A10" s="168">
        <v>7</v>
      </c>
      <c r="B10" s="10" t="s">
        <v>11</v>
      </c>
      <c r="C10" s="11">
        <v>0</v>
      </c>
      <c r="D10" s="12">
        <f>+'Loss Expansion Factors - Energy'!D16*100/(0.3+(0.7*'Loss Expansion Factors - Demand'!C12))</f>
        <v>2.0275368717638091</v>
      </c>
      <c r="E10" s="5">
        <f>+E12-E8</f>
        <v>-405.61097505917496</v>
      </c>
      <c r="F10" s="100">
        <f>+E8/E12</f>
        <v>1.0206949668001097</v>
      </c>
      <c r="G10" s="12">
        <v>0</v>
      </c>
    </row>
    <row r="11" spans="1:7" x14ac:dyDescent="0.3">
      <c r="A11" s="168">
        <v>8</v>
      </c>
    </row>
    <row r="12" spans="1:7" x14ac:dyDescent="0.3">
      <c r="A12" s="168">
        <v>9</v>
      </c>
      <c r="B12" s="10" t="s">
        <v>19</v>
      </c>
      <c r="C12" s="11">
        <f>+'Loss Expansion Factors - Energy'!C18/'Loss Expansion Factors - Demand'!E12/8760</f>
        <v>0.70578617051043235</v>
      </c>
      <c r="D12" s="12">
        <v>0</v>
      </c>
      <c r="E12" s="13">
        <f>+E16-E14</f>
        <v>19599.498707918978</v>
      </c>
      <c r="F12" s="12"/>
      <c r="G12" s="12">
        <v>0</v>
      </c>
    </row>
    <row r="13" spans="1:7" x14ac:dyDescent="0.3">
      <c r="A13" s="168">
        <v>10</v>
      </c>
    </row>
    <row r="14" spans="1:7" ht="18" customHeight="1" x14ac:dyDescent="0.3">
      <c r="A14" s="168">
        <v>11</v>
      </c>
      <c r="B14" s="97" t="s">
        <v>115</v>
      </c>
      <c r="C14" s="98">
        <v>0</v>
      </c>
      <c r="D14" s="98">
        <v>0</v>
      </c>
      <c r="E14" s="225">
        <v>-1153.8781666666669</v>
      </c>
      <c r="F14" s="98"/>
      <c r="G14" s="101">
        <f>+F6*F10</f>
        <v>1.0230839872669728</v>
      </c>
    </row>
    <row r="15" spans="1:7" x14ac:dyDescent="0.3">
      <c r="A15" s="168">
        <v>12</v>
      </c>
    </row>
    <row r="16" spans="1:7" x14ac:dyDescent="0.3">
      <c r="A16" s="168">
        <v>13</v>
      </c>
      <c r="B16" s="10" t="s">
        <v>30</v>
      </c>
      <c r="C16" s="11">
        <v>0</v>
      </c>
      <c r="D16" s="12">
        <v>0</v>
      </c>
      <c r="E16" s="13">
        <f>+E20/(1-(D18/100))</f>
        <v>18445.620541252312</v>
      </c>
      <c r="F16" s="12"/>
      <c r="G16" s="12">
        <v>0</v>
      </c>
    </row>
    <row r="17" spans="1:7" x14ac:dyDescent="0.3">
      <c r="A17" s="168">
        <v>14</v>
      </c>
    </row>
    <row r="18" spans="1:7" x14ac:dyDescent="0.3">
      <c r="A18" s="168">
        <v>15</v>
      </c>
      <c r="B18" s="10" t="s">
        <v>33</v>
      </c>
      <c r="C18" s="11">
        <v>0</v>
      </c>
      <c r="D18" s="12">
        <f>+'Loss Expansion Factors - Energy'!D28*100/(0.3+(0.7*C20))</f>
        <v>0.55416744919690575</v>
      </c>
      <c r="E18" s="5">
        <f>+E20-E16</f>
        <v>-102.21962484200048</v>
      </c>
      <c r="F18" s="100">
        <f>+E16/E20</f>
        <v>1.0055725557822024</v>
      </c>
      <c r="G18" s="12">
        <v>0</v>
      </c>
    </row>
    <row r="19" spans="1:7" x14ac:dyDescent="0.3">
      <c r="A19" s="168">
        <v>16</v>
      </c>
    </row>
    <row r="20" spans="1:7" x14ac:dyDescent="0.3">
      <c r="A20" s="168">
        <v>17</v>
      </c>
      <c r="B20" s="10" t="s">
        <v>36</v>
      </c>
      <c r="C20" s="11">
        <f>+'Loss Expansion Factors - Energy'!C30/'Loss Expansion Factors - Demand'!E20/8760</f>
        <v>0.65984841028836094</v>
      </c>
      <c r="D20" s="12">
        <v>0</v>
      </c>
      <c r="E20" s="13">
        <f>+E24/(1-(D22/100))</f>
        <v>18343.400916410312</v>
      </c>
      <c r="F20" s="12"/>
      <c r="G20" s="12">
        <v>0</v>
      </c>
    </row>
    <row r="21" spans="1:7" x14ac:dyDescent="0.3">
      <c r="A21" s="168">
        <v>18</v>
      </c>
    </row>
    <row r="22" spans="1:7" x14ac:dyDescent="0.3">
      <c r="A22" s="168">
        <v>19</v>
      </c>
      <c r="B22" s="10" t="s">
        <v>39</v>
      </c>
      <c r="C22" s="11">
        <v>0</v>
      </c>
      <c r="D22" s="12">
        <f>+'Loss Expansion Factors - Energy'!D32*100/(0.3+(0.7*C24))</f>
        <v>0.77104593935530075</v>
      </c>
      <c r="E22" s="5">
        <f>+E24-E20</f>
        <v>-141.43604790564495</v>
      </c>
      <c r="F22" s="100">
        <f>+E20/E24</f>
        <v>1.0077703725354605</v>
      </c>
      <c r="G22" s="12">
        <v>0</v>
      </c>
    </row>
    <row r="23" spans="1:7" x14ac:dyDescent="0.3">
      <c r="A23" s="168">
        <v>20</v>
      </c>
    </row>
    <row r="24" spans="1:7" x14ac:dyDescent="0.3">
      <c r="A24" s="168">
        <v>21</v>
      </c>
      <c r="B24" s="10" t="s">
        <v>42</v>
      </c>
      <c r="C24" s="11">
        <f>+'Loss Expansion Factors - Energy'!C34/'Loss Expansion Factors - Demand'!E24/8760</f>
        <v>0.66106487812315939</v>
      </c>
      <c r="D24" s="12">
        <v>0</v>
      </c>
      <c r="E24" s="13">
        <f>+E28-E26</f>
        <v>18201.964868504667</v>
      </c>
      <c r="F24" s="12"/>
      <c r="G24" s="12">
        <v>0</v>
      </c>
    </row>
    <row r="25" spans="1:7" x14ac:dyDescent="0.3">
      <c r="A25" s="168">
        <v>22</v>
      </c>
    </row>
    <row r="26" spans="1:7" ht="18" customHeight="1" x14ac:dyDescent="0.3">
      <c r="A26" s="168">
        <v>23</v>
      </c>
      <c r="B26" s="97" t="s">
        <v>116</v>
      </c>
      <c r="C26" s="98">
        <v>0</v>
      </c>
      <c r="D26" s="98">
        <v>0</v>
      </c>
      <c r="E26" s="225">
        <v>-321.12849258218893</v>
      </c>
      <c r="F26" s="98"/>
      <c r="G26" s="101">
        <f>+G14*F18*F22</f>
        <v>1.036779223962337</v>
      </c>
    </row>
    <row r="27" spans="1:7" x14ac:dyDescent="0.3">
      <c r="A27" s="168">
        <v>24</v>
      </c>
    </row>
    <row r="28" spans="1:7" x14ac:dyDescent="0.3">
      <c r="A28" s="168">
        <v>25</v>
      </c>
      <c r="B28" s="10" t="s">
        <v>48</v>
      </c>
      <c r="C28" s="11">
        <v>0</v>
      </c>
      <c r="D28" s="12">
        <v>0</v>
      </c>
      <c r="E28" s="13">
        <f>+E32/(1-(D30/100))</f>
        <v>17880.836375922478</v>
      </c>
      <c r="F28" s="12"/>
      <c r="G28" s="12">
        <v>0</v>
      </c>
    </row>
    <row r="29" spans="1:7" x14ac:dyDescent="0.3">
      <c r="A29" s="168">
        <v>26</v>
      </c>
    </row>
    <row r="30" spans="1:7" x14ac:dyDescent="0.3">
      <c r="A30" s="168">
        <v>27</v>
      </c>
      <c r="B30" s="10" t="s">
        <v>51</v>
      </c>
      <c r="C30" s="11">
        <v>0</v>
      </c>
      <c r="D30" s="12">
        <f>+'Loss Expansion Factors - Energy'!D40*100/(0.3+(0.7*C32))</f>
        <v>2.5858902630239919</v>
      </c>
      <c r="E30" s="5">
        <f>+E32-E28</f>
        <v>-462.37880679223235</v>
      </c>
      <c r="F30" s="100">
        <f>+E28/E32</f>
        <v>1.0265453358862084</v>
      </c>
      <c r="G30" s="12">
        <v>0</v>
      </c>
    </row>
    <row r="31" spans="1:7" x14ac:dyDescent="0.3">
      <c r="A31" s="168">
        <v>28</v>
      </c>
    </row>
    <row r="32" spans="1:7" x14ac:dyDescent="0.3">
      <c r="A32" s="168">
        <v>29</v>
      </c>
      <c r="B32" s="10" t="s">
        <v>54</v>
      </c>
      <c r="C32" s="11">
        <f>+'Loss Expansion Factors - Energy'!C42/'Loss Expansion Factors - Demand'!E32/8760</f>
        <v>0.66115119611983264</v>
      </c>
      <c r="D32" s="12">
        <v>0</v>
      </c>
      <c r="E32" s="13">
        <f>+E36/(1-(D34/100))</f>
        <v>17418.457569130245</v>
      </c>
      <c r="F32" s="12"/>
      <c r="G32" s="12">
        <v>0</v>
      </c>
    </row>
    <row r="33" spans="1:7" x14ac:dyDescent="0.3">
      <c r="A33" s="168">
        <v>30</v>
      </c>
    </row>
    <row r="34" spans="1:7" x14ac:dyDescent="0.3">
      <c r="A34" s="168">
        <v>31</v>
      </c>
      <c r="B34" s="10" t="s">
        <v>57</v>
      </c>
      <c r="C34" s="11">
        <v>0</v>
      </c>
      <c r="D34" s="12">
        <f>+'Loss Expansion Factors - Energy'!D44*100/(0.3+(0.7*C36))</f>
        <v>0.53011324248295943</v>
      </c>
      <c r="E34" s="5">
        <f>+E36-E32</f>
        <v>-92.337550210235349</v>
      </c>
      <c r="F34" s="100">
        <f>+E32/E36</f>
        <v>1.0053293841961966</v>
      </c>
      <c r="G34" s="12">
        <v>0</v>
      </c>
    </row>
    <row r="35" spans="1:7" x14ac:dyDescent="0.3">
      <c r="A35" s="168">
        <v>32</v>
      </c>
    </row>
    <row r="36" spans="1:7" x14ac:dyDescent="0.3">
      <c r="A36" s="168">
        <v>33</v>
      </c>
      <c r="B36" s="10" t="s">
        <v>60</v>
      </c>
      <c r="C36" s="11">
        <f>+'Loss Expansion Factors - Energy'!C46/'Loss Expansion Factors - Demand'!E36/8760</f>
        <v>0.6619849002617989</v>
      </c>
      <c r="D36" s="12">
        <v>0</v>
      </c>
      <c r="E36" s="13">
        <f>+E40-E38</f>
        <v>17326.12001892001</v>
      </c>
      <c r="F36" s="12"/>
      <c r="G36" s="12">
        <v>0</v>
      </c>
    </row>
    <row r="37" spans="1:7" x14ac:dyDescent="0.3">
      <c r="A37" s="168">
        <v>34</v>
      </c>
    </row>
    <row r="38" spans="1:7" x14ac:dyDescent="0.3">
      <c r="A38" s="168">
        <v>35</v>
      </c>
      <c r="B38" s="10" t="s">
        <v>63</v>
      </c>
      <c r="C38" s="11">
        <v>0</v>
      </c>
      <c r="D38" s="12">
        <v>0</v>
      </c>
      <c r="E38" s="5">
        <f>-'Data Summary'!C17</f>
        <v>-18.750594835533484</v>
      </c>
      <c r="F38" s="12"/>
      <c r="G38" s="12">
        <v>0</v>
      </c>
    </row>
    <row r="39" spans="1:7" x14ac:dyDescent="0.3">
      <c r="A39" s="168">
        <v>36</v>
      </c>
    </row>
    <row r="40" spans="1:7" ht="18" customHeight="1" x14ac:dyDescent="0.3">
      <c r="A40" s="168">
        <v>37</v>
      </c>
      <c r="B40" s="97" t="s">
        <v>117</v>
      </c>
      <c r="C40" s="98">
        <v>0</v>
      </c>
      <c r="D40" s="98">
        <v>0</v>
      </c>
      <c r="E40" s="226">
        <v>17307.369424084478</v>
      </c>
      <c r="F40" s="98"/>
      <c r="G40" s="101">
        <f>+G26*F30*F34</f>
        <v>1.0699729449745548</v>
      </c>
    </row>
    <row r="41" spans="1:7" x14ac:dyDescent="0.3">
      <c r="A41" s="2"/>
    </row>
    <row r="42" spans="1:7" ht="15" thickBot="1" x14ac:dyDescent="0.35">
      <c r="A42" s="1"/>
      <c r="B42" s="1"/>
      <c r="C42" s="139"/>
      <c r="D42" s="1"/>
      <c r="E42" s="1"/>
      <c r="F42" s="1"/>
      <c r="G42" s="1"/>
    </row>
    <row r="43" spans="1:7" x14ac:dyDescent="0.3">
      <c r="A43" s="19"/>
      <c r="C43" s="19"/>
    </row>
    <row r="44" spans="1:7" x14ac:dyDescent="0.3">
      <c r="A44" s="96" t="s">
        <v>112</v>
      </c>
      <c r="B44" s="102" t="s">
        <v>153</v>
      </c>
      <c r="C44" s="19"/>
    </row>
    <row r="45" spans="1:7" x14ac:dyDescent="0.3">
      <c r="A45" s="96" t="s">
        <v>113</v>
      </c>
      <c r="B45" s="102" t="s">
        <v>154</v>
      </c>
      <c r="C45" s="19"/>
    </row>
    <row r="46" spans="1:7" x14ac:dyDescent="0.3">
      <c r="A46" s="96" t="s">
        <v>114</v>
      </c>
      <c r="B46" s="16" t="s">
        <v>155</v>
      </c>
      <c r="C46" s="19"/>
    </row>
    <row r="47" spans="1:7" x14ac:dyDescent="0.3">
      <c r="A47" s="2" t="s">
        <v>157</v>
      </c>
      <c r="B47" s="16" t="s">
        <v>156</v>
      </c>
    </row>
  </sheetData>
  <printOptions horizontalCentered="1"/>
  <pageMargins left="0.75" right="0.5" top="1.25" bottom="0.5" header="0.5" footer="0.3"/>
  <pageSetup scale="75" orientation="portrait" r:id="rId1"/>
  <headerFooter>
    <oddHeader>&amp;C&amp;"Arial,Bold"&amp;10 LINE LOSS STUDY - 2014 ACTUALS
Florida Power &amp; Light Company
Development of Loss Expansion Factors - Demand
For The Year Ended December 2014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61"/>
  <sheetViews>
    <sheetView showGridLines="0" workbookViewId="0">
      <selection activeCell="A2" sqref="A1:A2"/>
    </sheetView>
  </sheetViews>
  <sheetFormatPr defaultRowHeight="14.4" x14ac:dyDescent="0.3"/>
  <cols>
    <col min="1" max="1" width="5.6640625" customWidth="1"/>
    <col min="2" max="2" width="39" customWidth="1"/>
    <col min="3" max="3" width="14.6640625" customWidth="1"/>
    <col min="4" max="4" width="17.6640625" customWidth="1"/>
    <col min="5" max="7" width="13.6640625" customWidth="1"/>
  </cols>
  <sheetData>
    <row r="1" spans="1:7" x14ac:dyDescent="0.3">
      <c r="A1" s="235" t="s">
        <v>282</v>
      </c>
      <c r="B1" s="41"/>
      <c r="C1" s="42"/>
      <c r="D1" s="42"/>
      <c r="E1" s="42"/>
      <c r="F1" s="42"/>
      <c r="G1" s="42"/>
    </row>
    <row r="2" spans="1:7" ht="15" thickBot="1" x14ac:dyDescent="0.35">
      <c r="A2" s="235" t="s">
        <v>277</v>
      </c>
      <c r="B2" s="41"/>
      <c r="C2" s="43"/>
      <c r="D2" s="43"/>
      <c r="E2" s="44"/>
      <c r="F2" s="43"/>
      <c r="G2" s="43"/>
    </row>
    <row r="3" spans="1:7" ht="42" customHeight="1" thickBot="1" x14ac:dyDescent="0.35">
      <c r="A3" s="94" t="s">
        <v>118</v>
      </c>
      <c r="B3" s="94" t="s">
        <v>193</v>
      </c>
      <c r="C3" s="94" t="s">
        <v>124</v>
      </c>
      <c r="D3" s="94" t="s">
        <v>127</v>
      </c>
      <c r="E3" s="94" t="s">
        <v>125</v>
      </c>
      <c r="F3" s="94" t="s">
        <v>126</v>
      </c>
      <c r="G3" s="94" t="s">
        <v>122</v>
      </c>
    </row>
    <row r="4" spans="1:7" x14ac:dyDescent="0.3">
      <c r="A4" s="2">
        <v>1</v>
      </c>
      <c r="B4" s="10" t="s">
        <v>70</v>
      </c>
      <c r="C4" s="11"/>
      <c r="D4" s="12"/>
      <c r="E4" s="13">
        <f>+E8/(1-(D6/100))</f>
        <v>25408.997001616986</v>
      </c>
      <c r="F4" s="12"/>
      <c r="G4" s="12"/>
    </row>
    <row r="5" spans="1:7" x14ac:dyDescent="0.3">
      <c r="A5" s="2">
        <v>2</v>
      </c>
    </row>
    <row r="6" spans="1:7" x14ac:dyDescent="0.3">
      <c r="A6" s="2">
        <v>3</v>
      </c>
      <c r="B6" s="10" t="s">
        <v>5</v>
      </c>
      <c r="C6" s="11"/>
      <c r="D6" s="12">
        <f>+'Loss Expansion Factors - Energy'!D8*100/(0.3+(0.7*C8))</f>
        <v>0.26864965025605325</v>
      </c>
      <c r="E6" s="5">
        <f>+E8-E4</f>
        <v>-68.261181578414835</v>
      </c>
      <c r="F6" s="100">
        <f>+E4/E8</f>
        <v>1.0026937332074011</v>
      </c>
      <c r="G6" s="12"/>
    </row>
    <row r="7" spans="1:7" x14ac:dyDescent="0.3">
      <c r="A7" s="2">
        <v>4</v>
      </c>
    </row>
    <row r="8" spans="1:7" x14ac:dyDescent="0.3">
      <c r="A8" s="2">
        <v>5</v>
      </c>
      <c r="B8" s="10" t="s">
        <v>8</v>
      </c>
      <c r="C8" s="11">
        <f>+'Loss Expansion Factors - Energy'!C10/'Dist GNCP - for ECRC'!E8/8760</f>
        <v>0.55481446747088459</v>
      </c>
      <c r="D8" s="12"/>
      <c r="E8" s="13">
        <f>+E12/(1-(D10/100))</f>
        <v>25340.735820038572</v>
      </c>
      <c r="F8" s="12"/>
      <c r="G8" s="12"/>
    </row>
    <row r="9" spans="1:7" x14ac:dyDescent="0.3">
      <c r="A9" s="2">
        <v>6</v>
      </c>
    </row>
    <row r="10" spans="1:7" x14ac:dyDescent="0.3">
      <c r="A10" s="2">
        <v>7</v>
      </c>
      <c r="B10" s="10" t="s">
        <v>11</v>
      </c>
      <c r="C10" s="11"/>
      <c r="D10" s="12">
        <f>+'Loss Expansion Factors - Energy'!D16*100/(0.3+(0.7*C12))</f>
        <v>2.3291333636071108</v>
      </c>
      <c r="E10" s="5">
        <f>+E12-E8</f>
        <v>-590.219532568055</v>
      </c>
      <c r="F10" s="100">
        <f>+E8/E12</f>
        <v>1.0238467563954148</v>
      </c>
      <c r="G10" s="12"/>
    </row>
    <row r="11" spans="1:7" x14ac:dyDescent="0.3">
      <c r="A11" s="2">
        <v>8</v>
      </c>
    </row>
    <row r="12" spans="1:7" x14ac:dyDescent="0.3">
      <c r="A12" s="2">
        <v>9</v>
      </c>
      <c r="B12" s="10" t="s">
        <v>19</v>
      </c>
      <c r="C12" s="11">
        <f>+'Loss Expansion Factors - Energy'!C18/'Dist GNCP - for ECRC'!E12/8760</f>
        <v>0.55889965996341762</v>
      </c>
      <c r="D12" s="12"/>
      <c r="E12" s="13">
        <f>+E16-E14</f>
        <v>24750.516287470517</v>
      </c>
      <c r="F12" s="12"/>
      <c r="G12" s="12"/>
    </row>
    <row r="13" spans="1:7" x14ac:dyDescent="0.3">
      <c r="A13" s="2">
        <v>10</v>
      </c>
    </row>
    <row r="14" spans="1:7" ht="18" customHeight="1" x14ac:dyDescent="0.3">
      <c r="A14" s="2">
        <v>11</v>
      </c>
      <c r="B14" s="97" t="s">
        <v>115</v>
      </c>
      <c r="C14" s="98"/>
      <c r="D14" s="98"/>
      <c r="E14" s="225">
        <v>0</v>
      </c>
      <c r="F14" s="98"/>
      <c r="G14" s="101">
        <f>+F6*F10</f>
        <v>1.026604726402407</v>
      </c>
    </row>
    <row r="15" spans="1:7" x14ac:dyDescent="0.3">
      <c r="A15" s="2">
        <v>12</v>
      </c>
    </row>
    <row r="16" spans="1:7" x14ac:dyDescent="0.3">
      <c r="A16" s="2">
        <v>13</v>
      </c>
      <c r="B16" s="10" t="s">
        <v>30</v>
      </c>
      <c r="C16" s="11"/>
      <c r="D16" s="12"/>
      <c r="E16" s="13">
        <f>+E20/(1-(D18/100))</f>
        <v>24750.516287470517</v>
      </c>
      <c r="F16" s="12"/>
      <c r="G16" s="12"/>
    </row>
    <row r="17" spans="1:7" x14ac:dyDescent="0.3">
      <c r="A17" s="2">
        <v>14</v>
      </c>
    </row>
    <row r="18" spans="1:7" x14ac:dyDescent="0.3">
      <c r="A18" s="2">
        <v>15</v>
      </c>
      <c r="B18" s="10" t="s">
        <v>33</v>
      </c>
      <c r="C18" s="11"/>
      <c r="D18" s="12">
        <f>+'Loss Expansion Factors - Energy'!D28*100/(0.3+(0.7*C20))</f>
        <v>0.65502472460213568</v>
      </c>
      <c r="E18" s="5">
        <f>+E20-E16</f>
        <v>-162.12200114961161</v>
      </c>
      <c r="F18" s="100">
        <f>+E16/E20</f>
        <v>1.0065934358812443</v>
      </c>
      <c r="G18" s="12"/>
    </row>
    <row r="19" spans="1:7" x14ac:dyDescent="0.3">
      <c r="A19" s="2">
        <v>16</v>
      </c>
    </row>
    <row r="20" spans="1:7" x14ac:dyDescent="0.3">
      <c r="A20" s="2">
        <v>17</v>
      </c>
      <c r="B20" s="10" t="s">
        <v>36</v>
      </c>
      <c r="C20" s="11">
        <f>+'Loss Expansion Factors - Energy'!C30/'Dist GNCP - for ECRC'!E20/8760</f>
        <v>0.4922592257563182</v>
      </c>
      <c r="D20" s="12"/>
      <c r="E20" s="13">
        <f>+E24/(1-(D22/100))</f>
        <v>24588.394286320905</v>
      </c>
      <c r="F20" s="12"/>
      <c r="G20" s="12"/>
    </row>
    <row r="21" spans="1:7" x14ac:dyDescent="0.3">
      <c r="A21" s="2">
        <v>18</v>
      </c>
    </row>
    <row r="22" spans="1:7" x14ac:dyDescent="0.3">
      <c r="A22" s="2">
        <v>19</v>
      </c>
      <c r="B22" s="10" t="s">
        <v>39</v>
      </c>
      <c r="C22" s="11"/>
      <c r="D22" s="12">
        <f>+'Loss Expansion Factors - Energy'!D32*100/(0.3+(0.7*C24))</f>
        <v>0.91080757258370248</v>
      </c>
      <c r="E22" s="5">
        <f>+E24-E20</f>
        <v>-223.95295713654923</v>
      </c>
      <c r="F22" s="100">
        <f>+E20/E24</f>
        <v>1.009191795293426</v>
      </c>
      <c r="G22" s="12"/>
    </row>
    <row r="23" spans="1:7" x14ac:dyDescent="0.3">
      <c r="A23" s="2">
        <v>20</v>
      </c>
    </row>
    <row r="24" spans="1:7" x14ac:dyDescent="0.3">
      <c r="A24" s="2">
        <v>21</v>
      </c>
      <c r="B24" s="10" t="s">
        <v>42</v>
      </c>
      <c r="C24" s="11">
        <f>+'Loss Expansion Factors - Energy'!C34/'Dist GNCP - for ECRC'!E24/8760</f>
        <v>0.49386232685692699</v>
      </c>
      <c r="D24" s="12"/>
      <c r="E24" s="13">
        <f>+E28-E26</f>
        <v>24364.441329184356</v>
      </c>
      <c r="F24" s="12"/>
      <c r="G24" s="12"/>
    </row>
    <row r="25" spans="1:7" x14ac:dyDescent="0.3">
      <c r="A25" s="2">
        <v>22</v>
      </c>
    </row>
    <row r="26" spans="1:7" ht="18" customHeight="1" x14ac:dyDescent="0.3">
      <c r="A26" s="2">
        <v>23</v>
      </c>
      <c r="B26" s="97" t="s">
        <v>185</v>
      </c>
      <c r="C26" s="98"/>
      <c r="D26" s="98"/>
      <c r="E26" s="225">
        <v>-400.78817612058276</v>
      </c>
      <c r="F26" s="98"/>
      <c r="G26" s="101">
        <f>+G14*F18*F22</f>
        <v>1.0428721372396681</v>
      </c>
    </row>
    <row r="27" spans="1:7" x14ac:dyDescent="0.3">
      <c r="A27" s="2">
        <v>24</v>
      </c>
    </row>
    <row r="28" spans="1:7" x14ac:dyDescent="0.3">
      <c r="A28" s="2">
        <v>25</v>
      </c>
      <c r="B28" s="10" t="s">
        <v>48</v>
      </c>
      <c r="C28" s="11"/>
      <c r="D28" s="12"/>
      <c r="E28" s="13">
        <f>+E32/(1-(D30/100))</f>
        <v>23963.653153063773</v>
      </c>
      <c r="F28" s="12"/>
      <c r="G28" s="12"/>
    </row>
    <row r="29" spans="1:7" x14ac:dyDescent="0.3">
      <c r="A29" s="2">
        <v>26</v>
      </c>
    </row>
    <row r="30" spans="1:7" x14ac:dyDescent="0.3">
      <c r="A30" s="2">
        <v>27</v>
      </c>
      <c r="B30" s="10" t="s">
        <v>51</v>
      </c>
      <c r="C30" s="11"/>
      <c r="D30" s="12">
        <f>+'Loss Expansion Factors - Energy'!D40*100/(0.3+(0.7*C32))</f>
        <v>3.0488376361993277</v>
      </c>
      <c r="E30" s="5">
        <f>+E32-E28</f>
        <v>-730.61287633887696</v>
      </c>
      <c r="F30" s="100">
        <f>+E28/E32</f>
        <v>1.0314471488723245</v>
      </c>
      <c r="G30" s="12"/>
    </row>
    <row r="31" spans="1:7" x14ac:dyDescent="0.3">
      <c r="A31" s="2">
        <v>28</v>
      </c>
    </row>
    <row r="32" spans="1:7" x14ac:dyDescent="0.3">
      <c r="A32" s="2">
        <v>29</v>
      </c>
      <c r="B32" s="10" t="s">
        <v>54</v>
      </c>
      <c r="C32" s="11">
        <f>+'Loss Expansion Factors - Energy'!C42/'Dist GNCP - for ECRC'!E32/8760</f>
        <v>0.49568347143658581</v>
      </c>
      <c r="D32" s="12"/>
      <c r="E32" s="13">
        <f>+E36/(1-(D34/100))</f>
        <v>23233.040276724896</v>
      </c>
      <c r="F32" s="12"/>
      <c r="G32" s="12"/>
    </row>
    <row r="33" spans="1:7" x14ac:dyDescent="0.3">
      <c r="A33" s="2">
        <v>30</v>
      </c>
    </row>
    <row r="34" spans="1:7" x14ac:dyDescent="0.3">
      <c r="A34" s="2">
        <v>31</v>
      </c>
      <c r="B34" s="10" t="s">
        <v>57</v>
      </c>
      <c r="C34" s="11"/>
      <c r="D34" s="12">
        <f>+'Loss Expansion Factors - Energy'!D44*100/(0.3+(0.7*C36))</f>
        <v>0.62475465091385995</v>
      </c>
      <c r="E34" s="5">
        <f>+E36-E32</f>
        <v>-145.14949967752909</v>
      </c>
      <c r="F34" s="100">
        <f>+E32/E36</f>
        <v>1.006286823732804</v>
      </c>
      <c r="G34" s="12"/>
    </row>
    <row r="35" spans="1:7" x14ac:dyDescent="0.3">
      <c r="A35" s="2">
        <v>32</v>
      </c>
    </row>
    <row r="36" spans="1:7" x14ac:dyDescent="0.3">
      <c r="A36" s="2">
        <v>33</v>
      </c>
      <c r="B36" s="10" t="s">
        <v>60</v>
      </c>
      <c r="C36" s="11">
        <f>+'Loss Expansion Factors - Energy'!C46/'Dist GNCP - for ECRC'!E36/8760</f>
        <v>0.49678118904006413</v>
      </c>
      <c r="D36" s="12"/>
      <c r="E36" s="13">
        <f>+E40-E38</f>
        <v>23087.890777047367</v>
      </c>
      <c r="F36" s="12"/>
      <c r="G36" s="12"/>
    </row>
    <row r="37" spans="1:7" x14ac:dyDescent="0.3">
      <c r="A37" s="2">
        <v>34</v>
      </c>
    </row>
    <row r="38" spans="1:7" x14ac:dyDescent="0.3">
      <c r="A38" s="2">
        <v>35</v>
      </c>
      <c r="B38" s="10" t="s">
        <v>63</v>
      </c>
      <c r="C38" s="11"/>
      <c r="D38" s="12"/>
      <c r="E38" s="5">
        <f>-D47</f>
        <v>-23.385953167956</v>
      </c>
      <c r="F38" s="12"/>
      <c r="G38" s="12"/>
    </row>
    <row r="39" spans="1:7" x14ac:dyDescent="0.3">
      <c r="A39" s="2">
        <v>36</v>
      </c>
    </row>
    <row r="40" spans="1:7" ht="18" customHeight="1" x14ac:dyDescent="0.3">
      <c r="A40" s="2">
        <v>37</v>
      </c>
      <c r="B40" s="97" t="s">
        <v>117</v>
      </c>
      <c r="C40" s="98"/>
      <c r="D40" s="98"/>
      <c r="E40" s="226">
        <v>23064.504823879412</v>
      </c>
      <c r="F40" s="98"/>
      <c r="G40" s="101">
        <f>+G26*F30*F34</f>
        <v>1.0824300245152902</v>
      </c>
    </row>
    <row r="41" spans="1:7" ht="18" customHeight="1" x14ac:dyDescent="0.3">
      <c r="A41" s="2">
        <v>38</v>
      </c>
      <c r="B41" s="103"/>
      <c r="C41" s="104"/>
      <c r="D41" s="104"/>
      <c r="E41" s="170"/>
      <c r="F41" s="104"/>
      <c r="G41" s="169"/>
    </row>
    <row r="42" spans="1:7" x14ac:dyDescent="0.3">
      <c r="A42" s="2">
        <v>39</v>
      </c>
      <c r="B42" s="42"/>
      <c r="C42" s="41"/>
      <c r="D42" s="46"/>
      <c r="E42" s="42"/>
      <c r="F42" s="46"/>
      <c r="G42" s="41"/>
    </row>
    <row r="43" spans="1:7" x14ac:dyDescent="0.3">
      <c r="A43" s="2">
        <v>40</v>
      </c>
      <c r="B43" s="21" t="s">
        <v>192</v>
      </c>
      <c r="C43" s="41"/>
      <c r="D43" s="46"/>
      <c r="E43" s="41"/>
      <c r="F43" s="46"/>
      <c r="G43" s="41"/>
    </row>
    <row r="44" spans="1:7" x14ac:dyDescent="0.3">
      <c r="A44" s="2">
        <v>41</v>
      </c>
      <c r="B44" s="16" t="s">
        <v>191</v>
      </c>
      <c r="D44" s="227">
        <v>4772.1099999999997</v>
      </c>
      <c r="E44" s="42"/>
      <c r="F44" s="42"/>
      <c r="G44" s="47"/>
    </row>
    <row r="45" spans="1:7" x14ac:dyDescent="0.3">
      <c r="A45" s="2">
        <v>42</v>
      </c>
      <c r="B45" s="16" t="s">
        <v>78</v>
      </c>
      <c r="D45" s="227">
        <v>25147188.6403936</v>
      </c>
      <c r="E45" s="43"/>
      <c r="F45" s="43"/>
      <c r="G45" s="47"/>
    </row>
    <row r="46" spans="1:7" x14ac:dyDescent="0.3">
      <c r="A46" s="2">
        <v>43</v>
      </c>
      <c r="B46" s="16" t="s">
        <v>189</v>
      </c>
      <c r="D46" s="149">
        <f>+D45/8760/D44</f>
        <v>0.60155437212221186</v>
      </c>
      <c r="E46" s="41"/>
      <c r="F46" s="41"/>
      <c r="G46" s="47"/>
    </row>
    <row r="47" spans="1:7" ht="15" thickBot="1" x14ac:dyDescent="0.35">
      <c r="A47" s="2">
        <v>44</v>
      </c>
      <c r="B47" s="103" t="s">
        <v>190</v>
      </c>
      <c r="D47" s="150">
        <f>-'Losses, Sales &amp; Co Use'!E42/8760/'Dist GNCP - for ECRC'!D46</f>
        <v>23.385953167956</v>
      </c>
      <c r="E47" s="46"/>
      <c r="F47" s="56"/>
      <c r="G47" s="57"/>
    </row>
    <row r="48" spans="1:7" ht="15" thickTop="1" x14ac:dyDescent="0.3">
      <c r="A48" s="2"/>
      <c r="B48" s="103"/>
      <c r="D48" s="105"/>
      <c r="E48" s="46"/>
      <c r="F48" s="56"/>
      <c r="G48" s="57"/>
    </row>
    <row r="49" spans="1:7" ht="15" thickBot="1" x14ac:dyDescent="0.35">
      <c r="A49" s="1"/>
      <c r="B49" s="1"/>
      <c r="C49" s="139"/>
      <c r="D49" s="1"/>
      <c r="E49" s="1"/>
      <c r="F49" s="1"/>
      <c r="G49" s="1"/>
    </row>
    <row r="50" spans="1:7" x14ac:dyDescent="0.3">
      <c r="A50" s="42"/>
      <c r="B50" s="42"/>
      <c r="C50" s="41"/>
      <c r="D50" s="46"/>
      <c r="E50" s="42"/>
      <c r="F50" s="46"/>
      <c r="G50" s="41"/>
    </row>
    <row r="51" spans="1:7" x14ac:dyDescent="0.3">
      <c r="A51" s="96" t="s">
        <v>112</v>
      </c>
      <c r="B51" s="102" t="s">
        <v>153</v>
      </c>
      <c r="C51" s="41"/>
      <c r="D51" s="46"/>
      <c r="E51" s="49"/>
      <c r="F51" s="46"/>
      <c r="G51" s="41"/>
    </row>
    <row r="52" spans="1:7" x14ac:dyDescent="0.3">
      <c r="A52" s="96" t="s">
        <v>113</v>
      </c>
      <c r="B52" s="102" t="s">
        <v>104</v>
      </c>
      <c r="D52" s="46"/>
      <c r="E52" s="49"/>
      <c r="F52" s="46"/>
      <c r="G52" s="41"/>
    </row>
    <row r="53" spans="1:7" x14ac:dyDescent="0.3">
      <c r="A53" s="96" t="s">
        <v>114</v>
      </c>
      <c r="B53" s="16" t="s">
        <v>105</v>
      </c>
      <c r="D53" s="46"/>
      <c r="E53" s="49"/>
      <c r="F53" s="46"/>
      <c r="G53" s="41"/>
    </row>
    <row r="54" spans="1:7" x14ac:dyDescent="0.3">
      <c r="A54" s="2" t="s">
        <v>157</v>
      </c>
      <c r="B54" s="16" t="s">
        <v>106</v>
      </c>
      <c r="D54" s="46"/>
      <c r="E54" s="42"/>
      <c r="F54" s="46"/>
      <c r="G54" s="41"/>
    </row>
    <row r="55" spans="1:7" x14ac:dyDescent="0.3">
      <c r="A55" s="40"/>
      <c r="B55" s="41"/>
      <c r="C55" s="41"/>
      <c r="D55" s="41"/>
      <c r="E55" s="41"/>
      <c r="F55" s="41"/>
      <c r="G55" s="41"/>
    </row>
    <row r="56" spans="1:7" x14ac:dyDescent="0.3">
      <c r="A56" s="40"/>
      <c r="B56" s="41"/>
      <c r="C56" s="41"/>
      <c r="D56" s="41"/>
      <c r="E56" s="41"/>
      <c r="F56" s="41"/>
      <c r="G56" s="41"/>
    </row>
    <row r="57" spans="1:7" x14ac:dyDescent="0.3">
      <c r="A57" s="42"/>
      <c r="B57" s="50"/>
      <c r="C57" s="51"/>
      <c r="D57" s="52"/>
      <c r="E57" s="42"/>
      <c r="F57" s="42"/>
      <c r="G57" s="47"/>
    </row>
    <row r="58" spans="1:7" x14ac:dyDescent="0.3">
      <c r="A58" s="43"/>
      <c r="B58" s="50"/>
      <c r="C58" s="51"/>
      <c r="D58" s="48"/>
      <c r="E58" s="43"/>
      <c r="F58" s="43"/>
      <c r="G58" s="47"/>
    </row>
    <row r="59" spans="1:7" x14ac:dyDescent="0.3">
      <c r="A59" s="42"/>
      <c r="B59" s="50"/>
      <c r="C59" s="53"/>
      <c r="D59" s="54"/>
      <c r="E59" s="41"/>
      <c r="F59" s="41"/>
      <c r="G59" s="47"/>
    </row>
    <row r="60" spans="1:7" x14ac:dyDescent="0.3">
      <c r="A60" s="42"/>
      <c r="B60" s="50"/>
      <c r="C60" s="55"/>
      <c r="D60" s="52"/>
      <c r="E60" s="46"/>
      <c r="F60" s="56"/>
      <c r="G60" s="57"/>
    </row>
    <row r="61" spans="1:7" x14ac:dyDescent="0.3">
      <c r="A61" s="42"/>
      <c r="B61" s="41"/>
      <c r="C61" s="41"/>
      <c r="D61" s="46"/>
      <c r="E61" s="46"/>
      <c r="F61" s="45"/>
      <c r="G61" s="58"/>
    </row>
  </sheetData>
  <printOptions horizontalCentered="1"/>
  <pageMargins left="0.75" right="0.5" top="1.25" bottom="0.5" header="0.5" footer="0.3"/>
  <pageSetup scale="75" orientation="portrait" r:id="rId1"/>
  <headerFooter>
    <oddHeader>&amp;C&amp;"Arial,Bold"&amp;10LINE LOSS STUDY - 2014 ACTUALS
Florida Power &amp; Light Company
Development of Loss Expansion Factors - GNCP Demand
For The Year Ended December 2014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L130"/>
  <sheetViews>
    <sheetView showGridLines="0" showZeros="0" workbookViewId="0">
      <pane xSplit="1" ySplit="4" topLeftCell="B5"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32.6640625" customWidth="1"/>
    <col min="2" max="2" width="14.6640625" customWidth="1"/>
    <col min="3" max="3" width="13.6640625" customWidth="1"/>
    <col min="4" max="4" width="14.6640625" customWidth="1"/>
    <col min="5" max="7" width="13.6640625" customWidth="1"/>
    <col min="9" max="9" width="18.109375" bestFit="1" customWidth="1"/>
    <col min="11" max="11" width="18.109375" bestFit="1" customWidth="1"/>
  </cols>
  <sheetData>
    <row r="1" spans="1:7" x14ac:dyDescent="0.3">
      <c r="A1" s="235" t="s">
        <v>283</v>
      </c>
    </row>
    <row r="2" spans="1:7" x14ac:dyDescent="0.3">
      <c r="A2" s="235" t="s">
        <v>277</v>
      </c>
    </row>
    <row r="3" spans="1:7" ht="15" thickBot="1" x14ac:dyDescent="0.35"/>
    <row r="4" spans="1:7" ht="40.200000000000003" thickBot="1" x14ac:dyDescent="0.35">
      <c r="A4" s="94" t="s">
        <v>194</v>
      </c>
      <c r="B4" s="94" t="s">
        <v>195</v>
      </c>
      <c r="C4" s="94" t="s">
        <v>122</v>
      </c>
      <c r="D4" s="94" t="s">
        <v>196</v>
      </c>
      <c r="E4" s="94" t="s">
        <v>197</v>
      </c>
      <c r="F4" s="94" t="s">
        <v>198</v>
      </c>
      <c r="G4" s="94" t="s">
        <v>199</v>
      </c>
    </row>
    <row r="5" spans="1:7" x14ac:dyDescent="0.3">
      <c r="A5" s="171" t="s">
        <v>200</v>
      </c>
      <c r="B5" s="172"/>
      <c r="C5" s="172"/>
      <c r="D5" s="172"/>
      <c r="E5" s="172"/>
      <c r="F5" s="173"/>
      <c r="G5" s="172"/>
    </row>
    <row r="6" spans="1:7" x14ac:dyDescent="0.3">
      <c r="A6" s="174" t="s">
        <v>76</v>
      </c>
      <c r="B6" s="172">
        <v>1053651.9151941072</v>
      </c>
      <c r="C6" s="175">
        <f>+'Loss Expansion Factors - Energy'!F36</f>
        <v>1.0286129790801486</v>
      </c>
      <c r="D6" s="172">
        <f>+B6*C6</f>
        <v>1083800.0354013147</v>
      </c>
      <c r="E6" s="175">
        <f>+B6/D6</f>
        <v>0.97218294960098972</v>
      </c>
      <c r="F6" s="176">
        <f>+D6-B6</f>
        <v>30148.12020720751</v>
      </c>
      <c r="G6" s="172">
        <v>0</v>
      </c>
    </row>
    <row r="7" spans="1:7" x14ac:dyDescent="0.3">
      <c r="A7" s="174" t="s">
        <v>77</v>
      </c>
      <c r="B7" s="172">
        <v>1701607.1759395988</v>
      </c>
      <c r="C7" s="175">
        <f>+'Loss Expansion Factors - Energy'!F50</f>
        <v>1.0535746115460856</v>
      </c>
      <c r="D7" s="172">
        <f>+B7*C7</f>
        <v>1792770.1193945946</v>
      </c>
      <c r="E7" s="175">
        <f t="shared" ref="E7:E8" si="0">+B7/D7</f>
        <v>0.94914967486975921</v>
      </c>
      <c r="F7" s="176">
        <f>+D7-B7</f>
        <v>91162.943454995751</v>
      </c>
      <c r="G7" s="172">
        <v>0</v>
      </c>
    </row>
    <row r="8" spans="1:7" x14ac:dyDescent="0.3">
      <c r="A8" s="177" t="s">
        <v>201</v>
      </c>
      <c r="B8" s="178">
        <f>+B6+B7</f>
        <v>2755259.0911337063</v>
      </c>
      <c r="C8" s="179">
        <f>+D8/B8</f>
        <v>1.0440289133071283</v>
      </c>
      <c r="D8" s="178">
        <f>+D6+D7</f>
        <v>2876570.1547959093</v>
      </c>
      <c r="E8" s="179">
        <f t="shared" si="0"/>
        <v>0.95782787933749869</v>
      </c>
      <c r="F8" s="180">
        <f>+F6+F7</f>
        <v>121311.06366220326</v>
      </c>
      <c r="G8" s="179">
        <f>+$E$98/E8</f>
        <v>0.99364929840296856</v>
      </c>
    </row>
    <row r="9" spans="1:7" x14ac:dyDescent="0.3">
      <c r="F9" s="124"/>
    </row>
    <row r="10" spans="1:7" x14ac:dyDescent="0.3">
      <c r="A10" s="171" t="s">
        <v>202</v>
      </c>
      <c r="B10" s="172"/>
      <c r="C10" s="172"/>
      <c r="D10" s="172"/>
      <c r="E10" s="172"/>
      <c r="F10" s="176"/>
      <c r="G10" s="172"/>
    </row>
    <row r="11" spans="1:7" x14ac:dyDescent="0.3">
      <c r="A11" s="174" t="s">
        <v>76</v>
      </c>
      <c r="B11" s="172">
        <v>1974.0883769292363</v>
      </c>
      <c r="C11" s="175">
        <f>+'Loss Expansion Factors - Energy'!F36</f>
        <v>1.0286129790801486</v>
      </c>
      <c r="D11" s="172">
        <f>+B11*C11</f>
        <v>2030.572926360677</v>
      </c>
      <c r="E11" s="175">
        <f>+B11/D11</f>
        <v>0.97218294960098972</v>
      </c>
      <c r="F11" s="176">
        <f>+D11-B11</f>
        <v>56.484549431440655</v>
      </c>
      <c r="G11" s="172">
        <v>0</v>
      </c>
    </row>
    <row r="12" spans="1:7" x14ac:dyDescent="0.3">
      <c r="A12" s="174" t="s">
        <v>77</v>
      </c>
      <c r="B12" s="172">
        <v>145022.29723947457</v>
      </c>
      <c r="C12" s="175">
        <f>+'Loss Expansion Factors - Energy'!F50</f>
        <v>1.0535746115460856</v>
      </c>
      <c r="D12" s="172">
        <f>+B12*C12</f>
        <v>152791.81047960039</v>
      </c>
      <c r="E12" s="175">
        <f t="shared" ref="E12:E13" si="1">+B12/D12</f>
        <v>0.94914967486975921</v>
      </c>
      <c r="F12" s="176">
        <f>+D12-B12</f>
        <v>7769.5132401258161</v>
      </c>
      <c r="G12" s="172">
        <v>0</v>
      </c>
    </row>
    <row r="13" spans="1:7" x14ac:dyDescent="0.3">
      <c r="A13" s="177" t="s">
        <v>203</v>
      </c>
      <c r="B13" s="178">
        <f>+B11+B12</f>
        <v>146996.3856164038</v>
      </c>
      <c r="C13" s="179">
        <f>+D13/B13</f>
        <v>1.053239389232193</v>
      </c>
      <c r="D13" s="178">
        <f>+D11+D12</f>
        <v>154822.38340596107</v>
      </c>
      <c r="E13" s="179">
        <f t="shared" si="1"/>
        <v>0.94945176777806961</v>
      </c>
      <c r="F13" s="180">
        <f>+F11+F12</f>
        <v>7825.9977895572565</v>
      </c>
      <c r="G13" s="179">
        <f>+$E$98/E13</f>
        <v>1.0024153228149819</v>
      </c>
    </row>
    <row r="14" spans="1:7" x14ac:dyDescent="0.3">
      <c r="F14" s="124"/>
    </row>
    <row r="15" spans="1:7" x14ac:dyDescent="0.3">
      <c r="A15" s="171" t="s">
        <v>204</v>
      </c>
      <c r="B15" s="172"/>
      <c r="C15" s="172"/>
      <c r="D15" s="172"/>
      <c r="E15" s="172"/>
      <c r="F15" s="176"/>
      <c r="G15" s="172"/>
    </row>
    <row r="16" spans="1:7" x14ac:dyDescent="0.3">
      <c r="A16" s="174" t="s">
        <v>75</v>
      </c>
      <c r="B16" s="172">
        <v>1367204.4582230358</v>
      </c>
      <c r="C16" s="175">
        <f>+'Loss Expansion Factors - Energy'!F20</f>
        <v>1.0182461500731781</v>
      </c>
      <c r="D16" s="172">
        <f>+B16*C16</f>
        <v>1392150.6759484916</v>
      </c>
      <c r="E16" s="175">
        <f t="shared" ref="E16:E17" si="2">+B16/D16</f>
        <v>0.98208080622561955</v>
      </c>
      <c r="F16" s="176">
        <f>+D16-B16</f>
        <v>24946.217725455761</v>
      </c>
      <c r="G16" s="172">
        <v>0</v>
      </c>
    </row>
    <row r="17" spans="1:7" x14ac:dyDescent="0.3">
      <c r="A17" s="177" t="s">
        <v>205</v>
      </c>
      <c r="B17" s="178">
        <f>+B16</f>
        <v>1367204.4582230358</v>
      </c>
      <c r="C17" s="179">
        <f>+D17/B17</f>
        <v>1.0182461500731781</v>
      </c>
      <c r="D17" s="178">
        <f>+D16</f>
        <v>1392150.6759484916</v>
      </c>
      <c r="E17" s="179">
        <f t="shared" si="2"/>
        <v>0.98208080622561955</v>
      </c>
      <c r="F17" s="180">
        <f>+F16</f>
        <v>24946.217725455761</v>
      </c>
      <c r="G17" s="179">
        <f>+$E$98/E17</f>
        <v>0.9691106824012794</v>
      </c>
    </row>
    <row r="18" spans="1:7" x14ac:dyDescent="0.3">
      <c r="F18" s="124"/>
    </row>
    <row r="19" spans="1:7" x14ac:dyDescent="0.3">
      <c r="A19" s="171" t="s">
        <v>206</v>
      </c>
      <c r="B19" s="172"/>
      <c r="C19" s="172"/>
      <c r="D19" s="172"/>
      <c r="E19" s="172"/>
      <c r="F19" s="176"/>
      <c r="G19" s="172"/>
    </row>
    <row r="20" spans="1:7" x14ac:dyDescent="0.3">
      <c r="A20" s="174" t="s">
        <v>77</v>
      </c>
      <c r="B20" s="172">
        <v>5894062.7478019884</v>
      </c>
      <c r="C20" s="175">
        <v>1.0535746115460853</v>
      </c>
      <c r="D20" s="172">
        <f>+B20*C20</f>
        <v>6209834.8699437324</v>
      </c>
      <c r="E20" s="175">
        <f t="shared" ref="E20:E21" si="3">+B20/D20</f>
        <v>0.94914967486975943</v>
      </c>
      <c r="F20" s="176">
        <f>+D20-B20</f>
        <v>315772.12214174401</v>
      </c>
      <c r="G20" s="172">
        <v>0</v>
      </c>
    </row>
    <row r="21" spans="1:7" x14ac:dyDescent="0.3">
      <c r="A21" s="177" t="s">
        <v>207</v>
      </c>
      <c r="B21" s="178">
        <f>+B20</f>
        <v>5894062.7478019884</v>
      </c>
      <c r="C21" s="179">
        <f>+D21/B21</f>
        <v>1.0535746115460853</v>
      </c>
      <c r="D21" s="178">
        <f>+D20</f>
        <v>6209834.8699437324</v>
      </c>
      <c r="E21" s="179">
        <f t="shared" si="3"/>
        <v>0.94914967486975943</v>
      </c>
      <c r="F21" s="180">
        <f>+F20</f>
        <v>315772.12214174401</v>
      </c>
      <c r="G21" s="179">
        <f>+$E$98/E21</f>
        <v>1.002734368976216</v>
      </c>
    </row>
    <row r="22" spans="1:7" x14ac:dyDescent="0.3">
      <c r="F22" s="124"/>
    </row>
    <row r="23" spans="1:7" x14ac:dyDescent="0.3">
      <c r="A23" s="171" t="s">
        <v>208</v>
      </c>
      <c r="B23" s="172"/>
      <c r="C23" s="172"/>
      <c r="D23" s="172"/>
      <c r="E23" s="172"/>
      <c r="F23" s="176"/>
      <c r="G23" s="172"/>
    </row>
    <row r="24" spans="1:7" x14ac:dyDescent="0.3">
      <c r="A24" s="174" t="s">
        <v>77</v>
      </c>
      <c r="B24" s="172">
        <v>83917.402785676692</v>
      </c>
      <c r="C24" s="175">
        <v>1.0535746115460853</v>
      </c>
      <c r="D24" s="172">
        <f>+B24*C24</f>
        <v>88413.245041875707</v>
      </c>
      <c r="E24" s="175">
        <f t="shared" ref="E24:E25" si="4">+B24/D24</f>
        <v>0.94914967486975932</v>
      </c>
      <c r="F24" s="176">
        <f>+D24-B24</f>
        <v>4495.8422561990155</v>
      </c>
      <c r="G24" s="172">
        <v>0</v>
      </c>
    </row>
    <row r="25" spans="1:7" x14ac:dyDescent="0.3">
      <c r="A25" s="177" t="s">
        <v>209</v>
      </c>
      <c r="B25" s="178">
        <f>+B24</f>
        <v>83917.402785676692</v>
      </c>
      <c r="C25" s="179">
        <f>+D25/B25</f>
        <v>1.0535746115460853</v>
      </c>
      <c r="D25" s="178">
        <f>+D24</f>
        <v>88413.245041875707</v>
      </c>
      <c r="E25" s="179">
        <f t="shared" si="4"/>
        <v>0.94914967486975932</v>
      </c>
      <c r="F25" s="180">
        <f>+F24</f>
        <v>4495.8422561990155</v>
      </c>
      <c r="G25" s="179">
        <f>+$E$98/E25</f>
        <v>1.002734368976216</v>
      </c>
    </row>
    <row r="26" spans="1:7" x14ac:dyDescent="0.3">
      <c r="F26" s="124"/>
    </row>
    <row r="27" spans="1:7" x14ac:dyDescent="0.3">
      <c r="A27" s="171" t="s">
        <v>210</v>
      </c>
      <c r="B27" s="172"/>
      <c r="C27" s="172"/>
      <c r="D27" s="172"/>
      <c r="E27" s="172"/>
      <c r="F27" s="176"/>
      <c r="G27" s="172"/>
    </row>
    <row r="28" spans="1:7" x14ac:dyDescent="0.3">
      <c r="A28" s="174" t="s">
        <v>76</v>
      </c>
      <c r="B28" s="172">
        <v>72888.4160341229</v>
      </c>
      <c r="C28" s="175">
        <f>+'Loss Expansion Factors - Energy'!F36</f>
        <v>1.0286129790801486</v>
      </c>
      <c r="D28" s="172">
        <f>+B28*C28</f>
        <v>74973.970757292424</v>
      </c>
      <c r="E28" s="175">
        <f>+B28/D28</f>
        <v>0.97218294960098972</v>
      </c>
      <c r="F28" s="176">
        <f>+D28-B28</f>
        <v>2085.5547231695236</v>
      </c>
      <c r="G28" s="172">
        <v>0</v>
      </c>
    </row>
    <row r="29" spans="1:7" x14ac:dyDescent="0.3">
      <c r="A29" s="174" t="s">
        <v>77</v>
      </c>
      <c r="B29" s="172">
        <v>25074300.224359449</v>
      </c>
      <c r="C29" s="175">
        <f>+'Loss Expansion Factors - Energy'!F50</f>
        <v>1.0535746115460856</v>
      </c>
      <c r="D29" s="172">
        <f>+B29*C29</f>
        <v>26417646.118669432</v>
      </c>
      <c r="E29" s="175">
        <f t="shared" ref="E29:E30" si="5">+B29/D29</f>
        <v>0.94914967486975932</v>
      </c>
      <c r="F29" s="176">
        <f>+D29-B29</f>
        <v>1343345.8943099827</v>
      </c>
      <c r="G29" s="172">
        <v>0</v>
      </c>
    </row>
    <row r="30" spans="1:7" x14ac:dyDescent="0.3">
      <c r="A30" s="177" t="s">
        <v>211</v>
      </c>
      <c r="B30" s="178">
        <f>+B28+B29</f>
        <v>25147188.64039357</v>
      </c>
      <c r="C30" s="179">
        <f>+D30/B30</f>
        <v>1.0535022609593823</v>
      </c>
      <c r="D30" s="178">
        <f>+D28+D29</f>
        <v>26492620.089426722</v>
      </c>
      <c r="E30" s="179">
        <f t="shared" si="5"/>
        <v>0.94921485891196855</v>
      </c>
      <c r="F30" s="180">
        <f>+F28+F29</f>
        <v>1345431.4490331521</v>
      </c>
      <c r="G30" s="179">
        <f>+$E$98/E30</f>
        <v>1.0026655096670531</v>
      </c>
    </row>
    <row r="31" spans="1:7" x14ac:dyDescent="0.3">
      <c r="F31" s="124"/>
    </row>
    <row r="32" spans="1:7" x14ac:dyDescent="0.3">
      <c r="A32" s="171" t="s">
        <v>212</v>
      </c>
      <c r="B32" s="172"/>
      <c r="C32" s="172"/>
      <c r="D32" s="172"/>
      <c r="E32" s="172"/>
      <c r="F32" s="176"/>
      <c r="G32" s="172"/>
    </row>
    <row r="33" spans="1:7" x14ac:dyDescent="0.3">
      <c r="A33" s="174" t="s">
        <v>76</v>
      </c>
      <c r="B33" s="172">
        <v>398610.51035352249</v>
      </c>
      <c r="C33" s="175">
        <f>+'Loss Expansion Factors - Energy'!F36</f>
        <v>1.0286129790801486</v>
      </c>
      <c r="D33" s="172">
        <f>+B33*C33</f>
        <v>410015.94454739516</v>
      </c>
      <c r="E33" s="175">
        <f>+B33/D33</f>
        <v>0.97218294960098983</v>
      </c>
      <c r="F33" s="176">
        <f>+D33-B33</f>
        <v>11405.434193872672</v>
      </c>
      <c r="G33" s="172">
        <v>0</v>
      </c>
    </row>
    <row r="34" spans="1:7" x14ac:dyDescent="0.3">
      <c r="A34" s="174" t="s">
        <v>77</v>
      </c>
      <c r="B34" s="172">
        <v>9976650.8555517253</v>
      </c>
      <c r="C34" s="175">
        <f>+'Loss Expansion Factors - Energy'!F50</f>
        <v>1.0535746115460856</v>
      </c>
      <c r="D34" s="172">
        <f>+B34*C34</f>
        <v>10511146.049668832</v>
      </c>
      <c r="E34" s="175">
        <f t="shared" ref="E34:E35" si="6">+B34/D34</f>
        <v>0.94914967486975921</v>
      </c>
      <c r="F34" s="176">
        <f>+D34-B34</f>
        <v>534495.1941171065</v>
      </c>
      <c r="G34" s="172">
        <v>0</v>
      </c>
    </row>
    <row r="35" spans="1:7" x14ac:dyDescent="0.3">
      <c r="A35" s="177" t="s">
        <v>213</v>
      </c>
      <c r="B35" s="178">
        <f>+B33+B34</f>
        <v>10375261.365905248</v>
      </c>
      <c r="C35" s="179">
        <f>+D35/B35</f>
        <v>1.0526156025432665</v>
      </c>
      <c r="D35" s="178">
        <f>+D33+D34</f>
        <v>10921161.994216226</v>
      </c>
      <c r="E35" s="179">
        <f t="shared" si="6"/>
        <v>0.95001441892354643</v>
      </c>
      <c r="F35" s="180">
        <f>+F33+F34</f>
        <v>545900.62831097911</v>
      </c>
      <c r="G35" s="179">
        <f>+$E$98/E35</f>
        <v>1.0018216369525457</v>
      </c>
    </row>
    <row r="36" spans="1:7" x14ac:dyDescent="0.3">
      <c r="F36" s="124"/>
    </row>
    <row r="37" spans="1:7" x14ac:dyDescent="0.3">
      <c r="A37" s="171" t="s">
        <v>214</v>
      </c>
      <c r="B37" s="172"/>
      <c r="C37" s="172"/>
      <c r="D37" s="172"/>
      <c r="E37" s="172"/>
      <c r="F37" s="176"/>
      <c r="G37" s="172"/>
    </row>
    <row r="38" spans="1:7" x14ac:dyDescent="0.3">
      <c r="A38" s="174" t="s">
        <v>76</v>
      </c>
      <c r="B38" s="172">
        <v>848430.92041281587</v>
      </c>
      <c r="C38" s="175">
        <f>+'Loss Expansion Factors - Energy'!F36</f>
        <v>1.0286129790801486</v>
      </c>
      <c r="D38" s="172">
        <f>+B38*C38</f>
        <v>872707.05658953905</v>
      </c>
      <c r="E38" s="175">
        <f>+B38/D38</f>
        <v>0.97218294960098961</v>
      </c>
      <c r="F38" s="176">
        <f>+D38-B38</f>
        <v>24276.136176723172</v>
      </c>
      <c r="G38" s="172">
        <v>0</v>
      </c>
    </row>
    <row r="39" spans="1:7" x14ac:dyDescent="0.3">
      <c r="A39" s="174" t="s">
        <v>77</v>
      </c>
      <c r="B39" s="172">
        <v>1634200.6625603635</v>
      </c>
      <c r="C39" s="175">
        <f>+'Loss Expansion Factors - Energy'!F50</f>
        <v>1.0535746115460856</v>
      </c>
      <c r="D39" s="172">
        <f>+B39*C39</f>
        <v>1721752.3282453907</v>
      </c>
      <c r="E39" s="175">
        <f t="shared" ref="E39:E40" si="7">+B39/D39</f>
        <v>0.94914967486975921</v>
      </c>
      <c r="F39" s="176">
        <f>+D39-B39</f>
        <v>87551.665685027139</v>
      </c>
      <c r="G39" s="172">
        <v>0</v>
      </c>
    </row>
    <row r="40" spans="1:7" x14ac:dyDescent="0.3">
      <c r="A40" s="177" t="s">
        <v>215</v>
      </c>
      <c r="B40" s="178">
        <f>+B38+B39</f>
        <v>2482631.5829731794</v>
      </c>
      <c r="C40" s="179">
        <f>+D40/B40</f>
        <v>1.0450440583406364</v>
      </c>
      <c r="D40" s="178">
        <f>+D38+D39</f>
        <v>2594459.3848349298</v>
      </c>
      <c r="E40" s="179">
        <f t="shared" si="7"/>
        <v>0.95689745520187997</v>
      </c>
      <c r="F40" s="180">
        <f>+F38+F39</f>
        <v>111827.80186175031</v>
      </c>
      <c r="G40" s="179">
        <f>+$E$98/E40</f>
        <v>0.99461545761318371</v>
      </c>
    </row>
    <row r="41" spans="1:7" x14ac:dyDescent="0.3">
      <c r="F41" s="124"/>
    </row>
    <row r="42" spans="1:7" x14ac:dyDescent="0.3">
      <c r="A42" s="171" t="s">
        <v>216</v>
      </c>
      <c r="B42" s="172"/>
      <c r="C42" s="172"/>
      <c r="D42" s="172"/>
      <c r="E42" s="172"/>
      <c r="F42" s="176"/>
      <c r="G42" s="172"/>
    </row>
    <row r="43" spans="1:7" x14ac:dyDescent="0.3">
      <c r="A43" s="174" t="s">
        <v>75</v>
      </c>
      <c r="B43" s="172">
        <v>161379.38749392968</v>
      </c>
      <c r="C43" s="175">
        <f>+'Loss Expansion Factors - Energy'!F20</f>
        <v>1.0182461500731781</v>
      </c>
      <c r="D43" s="172">
        <f>+B43*C43</f>
        <v>164323.94001686148</v>
      </c>
      <c r="E43" s="175">
        <f t="shared" ref="E43:E44" si="8">+B43/D43</f>
        <v>0.98208080622561966</v>
      </c>
      <c r="F43" s="176">
        <f>+D43-B43</f>
        <v>2944.5525229318009</v>
      </c>
      <c r="G43" s="172">
        <v>0</v>
      </c>
    </row>
    <row r="44" spans="1:7" x14ac:dyDescent="0.3">
      <c r="A44" s="181" t="s">
        <v>217</v>
      </c>
      <c r="B44" s="178">
        <f>+B43</f>
        <v>161379.38749392968</v>
      </c>
      <c r="C44" s="179">
        <f>+D44/B44</f>
        <v>1.0182461500731781</v>
      </c>
      <c r="D44" s="178">
        <f>+D43</f>
        <v>164323.94001686148</v>
      </c>
      <c r="E44" s="179">
        <f t="shared" si="8"/>
        <v>0.98208080622561966</v>
      </c>
      <c r="F44" s="180">
        <f>+F43</f>
        <v>2944.5525229318009</v>
      </c>
      <c r="G44" s="179">
        <f>+$E$98/E44</f>
        <v>0.96911068240127929</v>
      </c>
    </row>
    <row r="45" spans="1:7" x14ac:dyDescent="0.3">
      <c r="F45" s="124"/>
    </row>
    <row r="46" spans="1:7" x14ac:dyDescent="0.3">
      <c r="A46" s="171" t="s">
        <v>218</v>
      </c>
      <c r="B46" s="172"/>
      <c r="C46" s="172"/>
      <c r="D46" s="172"/>
      <c r="E46" s="172"/>
      <c r="F46" s="176"/>
      <c r="G46" s="172"/>
    </row>
    <row r="47" spans="1:7" x14ac:dyDescent="0.3">
      <c r="A47" s="174" t="s">
        <v>76</v>
      </c>
      <c r="B47" s="172">
        <v>91442.198415393083</v>
      </c>
      <c r="C47" s="175">
        <f>+'Loss Expansion Factors - Energy'!F36</f>
        <v>1.0286129790801486</v>
      </c>
      <c r="D47" s="172">
        <f>+B47*C47</f>
        <v>94058.632125695527</v>
      </c>
      <c r="E47" s="175">
        <f t="shared" ref="E47:E48" si="9">+B47/D47</f>
        <v>0.97218294960098972</v>
      </c>
      <c r="F47" s="176">
        <f>+D47-B47</f>
        <v>2616.4337103024445</v>
      </c>
      <c r="G47" s="172">
        <v>0</v>
      </c>
    </row>
    <row r="48" spans="1:7" x14ac:dyDescent="0.3">
      <c r="A48" s="181" t="s">
        <v>219</v>
      </c>
      <c r="B48" s="178">
        <f>+B47</f>
        <v>91442.198415393083</v>
      </c>
      <c r="C48" s="179">
        <f>+D48/B48</f>
        <v>1.0286129790801486</v>
      </c>
      <c r="D48" s="178">
        <f>+D47</f>
        <v>94058.632125695527</v>
      </c>
      <c r="E48" s="179">
        <f t="shared" si="9"/>
        <v>0.97218294960098972</v>
      </c>
      <c r="F48" s="180">
        <f>+F47</f>
        <v>2616.4337103024445</v>
      </c>
      <c r="G48" s="179">
        <f>+$E$98/E48</f>
        <v>0.97897726007757158</v>
      </c>
    </row>
    <row r="49" spans="1:7" x14ac:dyDescent="0.3">
      <c r="F49" s="124"/>
    </row>
    <row r="50" spans="1:7" x14ac:dyDescent="0.3">
      <c r="A50" s="171" t="s">
        <v>220</v>
      </c>
      <c r="B50" s="172"/>
      <c r="C50" s="172"/>
      <c r="D50" s="172"/>
      <c r="E50" s="172"/>
      <c r="F50" s="176"/>
      <c r="G50" s="172"/>
    </row>
    <row r="51" spans="1:7" x14ac:dyDescent="0.3">
      <c r="A51" s="174" t="s">
        <v>77</v>
      </c>
      <c r="B51" s="172">
        <v>100694.12742274663</v>
      </c>
      <c r="C51" s="175">
        <f>+'Loss Expansion Factors - Energy'!F50</f>
        <v>1.0535746115460856</v>
      </c>
      <c r="D51" s="172">
        <f>+B51*C51</f>
        <v>106088.77618439232</v>
      </c>
      <c r="E51" s="175">
        <f t="shared" ref="E51:E52" si="10">+B51/D51</f>
        <v>0.94914967486975932</v>
      </c>
      <c r="F51" s="176">
        <f>+D51-B51</f>
        <v>5394.648761645687</v>
      </c>
      <c r="G51" s="172">
        <v>0</v>
      </c>
    </row>
    <row r="52" spans="1:7" x14ac:dyDescent="0.3">
      <c r="A52" s="181" t="s">
        <v>221</v>
      </c>
      <c r="B52" s="178">
        <f>+B51</f>
        <v>100694.12742274663</v>
      </c>
      <c r="C52" s="179">
        <f>+D52/B52</f>
        <v>1.0535746115460856</v>
      </c>
      <c r="D52" s="178">
        <f>+D51</f>
        <v>106088.77618439232</v>
      </c>
      <c r="E52" s="179">
        <f t="shared" si="10"/>
        <v>0.94914967486975932</v>
      </c>
      <c r="F52" s="180">
        <f>+F51</f>
        <v>5394.648761645687</v>
      </c>
      <c r="G52" s="179">
        <f>+$E$98/E52</f>
        <v>1.002734368976216</v>
      </c>
    </row>
    <row r="53" spans="1:7" x14ac:dyDescent="0.3">
      <c r="F53" s="124"/>
    </row>
    <row r="54" spans="1:7" x14ac:dyDescent="0.3">
      <c r="A54" s="171" t="s">
        <v>222</v>
      </c>
      <c r="B54" s="172"/>
      <c r="C54" s="172"/>
      <c r="D54" s="172"/>
      <c r="E54" s="172"/>
      <c r="F54" s="176"/>
      <c r="G54" s="172"/>
    </row>
    <row r="55" spans="1:7" x14ac:dyDescent="0.3">
      <c r="A55" s="174" t="s">
        <v>76</v>
      </c>
      <c r="B55" s="172">
        <v>11289.271281152189</v>
      </c>
      <c r="C55" s="175">
        <f>+'Loss Expansion Factors - Energy'!F36</f>
        <v>1.0286129790801486</v>
      </c>
      <c r="D55" s="172">
        <f>+B55*C55</f>
        <v>11612.290964149919</v>
      </c>
      <c r="E55" s="175">
        <f t="shared" ref="E55:E56" si="11">+B55/D55</f>
        <v>0.97218294960098972</v>
      </c>
      <c r="F55" s="176">
        <f>+D55-B55</f>
        <v>323.01968299773034</v>
      </c>
      <c r="G55" s="172">
        <v>0</v>
      </c>
    </row>
    <row r="56" spans="1:7" x14ac:dyDescent="0.3">
      <c r="A56" s="181" t="s">
        <v>223</v>
      </c>
      <c r="B56" s="178">
        <f>+B55</f>
        <v>11289.271281152189</v>
      </c>
      <c r="C56" s="179">
        <f>+D56/B56</f>
        <v>1.0286129790801486</v>
      </c>
      <c r="D56" s="178">
        <f>+D55</f>
        <v>11612.290964149919</v>
      </c>
      <c r="E56" s="179">
        <f t="shared" si="11"/>
        <v>0.97218294960098972</v>
      </c>
      <c r="F56" s="180">
        <f>+F55</f>
        <v>323.01968299773034</v>
      </c>
      <c r="G56" s="179">
        <f>+$E$98/E56</f>
        <v>0.97897726007757158</v>
      </c>
    </row>
    <row r="57" spans="1:7" x14ac:dyDescent="0.3">
      <c r="F57" s="124"/>
    </row>
    <row r="58" spans="1:7" x14ac:dyDescent="0.3">
      <c r="A58" s="171" t="s">
        <v>224</v>
      </c>
      <c r="B58" s="172"/>
      <c r="C58" s="172"/>
      <c r="D58" s="172"/>
      <c r="E58" s="172"/>
      <c r="F58" s="176"/>
      <c r="G58" s="172"/>
    </row>
    <row r="59" spans="1:7" x14ac:dyDescent="0.3">
      <c r="A59" s="174" t="s">
        <v>77</v>
      </c>
      <c r="B59" s="172">
        <v>55191995.7766679</v>
      </c>
      <c r="C59" s="175">
        <f>+'Loss Expansion Factors - Energy'!F50</f>
        <v>1.0535746115460856</v>
      </c>
      <c r="D59" s="172">
        <f>+B59*C59</f>
        <v>58148885.510856077</v>
      </c>
      <c r="E59" s="175">
        <f t="shared" ref="E59:E60" si="12">+B59/D59</f>
        <v>0.94914967486975921</v>
      </c>
      <c r="F59" s="176">
        <f>+D59-B59</f>
        <v>2956889.7341881767</v>
      </c>
      <c r="G59" s="172">
        <v>0</v>
      </c>
    </row>
    <row r="60" spans="1:7" x14ac:dyDescent="0.3">
      <c r="A60" s="181" t="s">
        <v>225</v>
      </c>
      <c r="B60" s="178">
        <f>+B59</f>
        <v>55191995.7766679</v>
      </c>
      <c r="C60" s="179">
        <f>+D60/B60</f>
        <v>1.0535746115460856</v>
      </c>
      <c r="D60" s="178">
        <f>+D59</f>
        <v>58148885.510856077</v>
      </c>
      <c r="E60" s="179">
        <f t="shared" si="12"/>
        <v>0.94914967486975921</v>
      </c>
      <c r="F60" s="180">
        <f>+F59</f>
        <v>2956889.7341881767</v>
      </c>
      <c r="G60" s="179">
        <f>+$E$98/E60</f>
        <v>1.0027343689762163</v>
      </c>
    </row>
    <row r="61" spans="1:7" x14ac:dyDescent="0.3">
      <c r="F61" s="124"/>
    </row>
    <row r="62" spans="1:7" x14ac:dyDescent="0.3">
      <c r="A62" s="171" t="s">
        <v>226</v>
      </c>
      <c r="B62" s="172"/>
      <c r="C62" s="172"/>
      <c r="D62" s="172"/>
      <c r="E62" s="172"/>
      <c r="F62" s="176"/>
      <c r="G62" s="172"/>
    </row>
    <row r="63" spans="1:7" x14ac:dyDescent="0.3">
      <c r="A63" s="174" t="s">
        <v>77</v>
      </c>
      <c r="B63" s="172">
        <v>517355.4424075823</v>
      </c>
      <c r="C63" s="175">
        <f>+'Loss Expansion Factors - Energy'!F50</f>
        <v>1.0535746115460856</v>
      </c>
      <c r="D63" s="172">
        <f>+B63*C63</f>
        <v>545072.55926582182</v>
      </c>
      <c r="E63" s="175">
        <f t="shared" ref="E63:E64" si="13">+B63/D63</f>
        <v>0.9491496748697591</v>
      </c>
      <c r="F63" s="176">
        <f>+D63-B63</f>
        <v>27717.116858239518</v>
      </c>
      <c r="G63" s="172">
        <v>0</v>
      </c>
    </row>
    <row r="64" spans="1:7" x14ac:dyDescent="0.3">
      <c r="A64" s="181" t="s">
        <v>227</v>
      </c>
      <c r="B64" s="178">
        <f>+B63</f>
        <v>517355.4424075823</v>
      </c>
      <c r="C64" s="179">
        <f>+D64/B64</f>
        <v>1.0535746115460856</v>
      </c>
      <c r="D64" s="178">
        <f>+D63</f>
        <v>545072.55926582182</v>
      </c>
      <c r="E64" s="179">
        <f t="shared" si="13"/>
        <v>0.9491496748697591</v>
      </c>
      <c r="F64" s="180">
        <f>+F63</f>
        <v>27717.116858239518</v>
      </c>
      <c r="G64" s="179">
        <f>+$E$98/E64</f>
        <v>1.0027343689762163</v>
      </c>
    </row>
    <row r="65" spans="1:7" x14ac:dyDescent="0.3">
      <c r="F65" s="124"/>
    </row>
    <row r="66" spans="1:7" x14ac:dyDescent="0.3">
      <c r="A66" s="171" t="s">
        <v>228</v>
      </c>
      <c r="B66" s="172"/>
      <c r="C66" s="172"/>
      <c r="D66" s="172"/>
      <c r="E66" s="172"/>
      <c r="F66" s="176"/>
      <c r="G66" s="172"/>
    </row>
    <row r="67" spans="1:7" x14ac:dyDescent="0.3">
      <c r="A67" s="174" t="s">
        <v>77</v>
      </c>
      <c r="B67" s="172">
        <v>30915.706267277372</v>
      </c>
      <c r="C67" s="175">
        <f>+'Loss Expansion Factors - Energy'!F50</f>
        <v>1.0535746115460856</v>
      </c>
      <c r="D67" s="172">
        <f>+B67*C67</f>
        <v>32572.003221219638</v>
      </c>
      <c r="E67" s="175">
        <f t="shared" ref="E67:E68" si="14">+B67/D67</f>
        <v>0.94914967486975932</v>
      </c>
      <c r="F67" s="176">
        <f>+D67-B67</f>
        <v>1656.2969539422666</v>
      </c>
      <c r="G67" s="172">
        <v>0</v>
      </c>
    </row>
    <row r="68" spans="1:7" x14ac:dyDescent="0.3">
      <c r="A68" s="181" t="s">
        <v>229</v>
      </c>
      <c r="B68" s="178">
        <f>+B67</f>
        <v>30915.706267277372</v>
      </c>
      <c r="C68" s="179">
        <f>+D68/B68</f>
        <v>1.0535746115460856</v>
      </c>
      <c r="D68" s="178">
        <f>+D67</f>
        <v>32572.003221219638</v>
      </c>
      <c r="E68" s="179">
        <f t="shared" si="14"/>
        <v>0.94914967486975932</v>
      </c>
      <c r="F68" s="180">
        <f>+F67</f>
        <v>1656.2969539422666</v>
      </c>
      <c r="G68" s="179">
        <f>+$E$98/E68</f>
        <v>1.002734368976216</v>
      </c>
    </row>
    <row r="69" spans="1:7" x14ac:dyDescent="0.3">
      <c r="F69" s="124"/>
    </row>
    <row r="70" spans="1:7" x14ac:dyDescent="0.3">
      <c r="A70" s="171" t="s">
        <v>230</v>
      </c>
      <c r="B70" s="172"/>
      <c r="C70" s="172"/>
      <c r="D70" s="172"/>
      <c r="E70" s="172"/>
      <c r="F70" s="176"/>
      <c r="G70" s="172"/>
    </row>
    <row r="71" spans="1:7" x14ac:dyDescent="0.3">
      <c r="A71" s="174" t="s">
        <v>76</v>
      </c>
      <c r="B71" s="172">
        <v>15800.407552739571</v>
      </c>
      <c r="C71" s="175">
        <f>+'Loss Expansion Factors - Energy'!F36</f>
        <v>1.0286129790801486</v>
      </c>
      <c r="D71" s="172">
        <f>+B71*C71</f>
        <v>16252.504283503929</v>
      </c>
      <c r="E71" s="175">
        <f t="shared" ref="E71:E72" si="15">+B71/D71</f>
        <v>0.97218294960098972</v>
      </c>
      <c r="F71" s="176">
        <f>+D71-B71</f>
        <v>452.09673076435865</v>
      </c>
      <c r="G71" s="172">
        <v>0</v>
      </c>
    </row>
    <row r="72" spans="1:7" x14ac:dyDescent="0.3">
      <c r="A72" s="181" t="s">
        <v>231</v>
      </c>
      <c r="B72" s="178">
        <f>+B71</f>
        <v>15800.407552739571</v>
      </c>
      <c r="C72" s="179">
        <f>+D72/B72</f>
        <v>1.0286129790801486</v>
      </c>
      <c r="D72" s="178">
        <f>+D71</f>
        <v>16252.504283503929</v>
      </c>
      <c r="E72" s="179">
        <f t="shared" si="15"/>
        <v>0.97218294960098972</v>
      </c>
      <c r="F72" s="180">
        <f>+F71</f>
        <v>452.09673076435865</v>
      </c>
      <c r="G72" s="179">
        <f>+$E$98/E72</f>
        <v>0.97897726007757158</v>
      </c>
    </row>
    <row r="73" spans="1:7" x14ac:dyDescent="0.3">
      <c r="F73" s="124"/>
    </row>
    <row r="74" spans="1:7" x14ac:dyDescent="0.3">
      <c r="A74" s="171" t="s">
        <v>232</v>
      </c>
      <c r="B74" s="172"/>
      <c r="C74" s="172"/>
      <c r="D74" s="172"/>
      <c r="E74" s="172"/>
      <c r="F74" s="176"/>
      <c r="G74" s="172"/>
    </row>
    <row r="75" spans="1:7" x14ac:dyDescent="0.3">
      <c r="A75" s="174" t="s">
        <v>75</v>
      </c>
      <c r="B75" s="172">
        <v>57703.753658457965</v>
      </c>
      <c r="C75" s="175">
        <f>+'Loss Expansion Factors - Energy'!F20</f>
        <v>1.0182461500731781</v>
      </c>
      <c r="D75" s="172">
        <f>+B75*C75</f>
        <v>58756.625007495888</v>
      </c>
      <c r="E75" s="175">
        <f t="shared" ref="E75:E76" si="16">+B75/D75</f>
        <v>0.98208080622561966</v>
      </c>
      <c r="F75" s="176">
        <f>+D75-B75</f>
        <v>1052.8713490379232</v>
      </c>
      <c r="G75" s="172">
        <v>0</v>
      </c>
    </row>
    <row r="76" spans="1:7" x14ac:dyDescent="0.3">
      <c r="A76" s="181" t="s">
        <v>233</v>
      </c>
      <c r="B76" s="178">
        <f>+B75</f>
        <v>57703.753658457965</v>
      </c>
      <c r="C76" s="179">
        <f>+D76/B76</f>
        <v>1.0182461500731781</v>
      </c>
      <c r="D76" s="178">
        <f>+D75</f>
        <v>58756.625007495888</v>
      </c>
      <c r="E76" s="179">
        <f t="shared" si="16"/>
        <v>0.98208080622561966</v>
      </c>
      <c r="F76" s="180">
        <f>+F75</f>
        <v>1052.8713490379232</v>
      </c>
      <c r="G76" s="179">
        <f>+$E$98/E76</f>
        <v>0.96911068240127929</v>
      </c>
    </row>
    <row r="77" spans="1:7" x14ac:dyDescent="0.3">
      <c r="F77" s="124"/>
    </row>
    <row r="78" spans="1:7" x14ac:dyDescent="0.3">
      <c r="B78" s="172"/>
      <c r="C78" s="172"/>
      <c r="D78" s="172"/>
      <c r="E78" s="172"/>
      <c r="F78" s="176"/>
      <c r="G78" s="172"/>
    </row>
    <row r="79" spans="1:7" ht="15" thickBot="1" x14ac:dyDescent="0.35">
      <c r="A79" s="182" t="s">
        <v>234</v>
      </c>
      <c r="B79" s="183">
        <f>+B8+B13+B17+B21+B25+B30+B35+B40+B44+B48+B52+B56+B60+B64+B68+B72+B76</f>
        <v>104431097.74599999</v>
      </c>
      <c r="C79" s="184">
        <f>+D79/B79</f>
        <v>1.0524418301803098</v>
      </c>
      <c r="D79" s="183">
        <f>+D8+D13+D17+D21+D25+D30+D35+D40+D44+D48+D52+D56+D60+D64+D68+D72+D76</f>
        <v>109907655.63953906</v>
      </c>
      <c r="E79" s="184">
        <f t="shared" ref="E79" si="17">+B79/D79</f>
        <v>0.95017127913727517</v>
      </c>
      <c r="F79" s="185">
        <f>+F8+F13+F17+F21+F25+F30+F35+F40+F44+F48+F52+F56+F60+F64+F68+F72+F76</f>
        <v>5476557.8935390785</v>
      </c>
      <c r="G79" s="184">
        <f>+E102/E79</f>
        <v>1.0016531858318061</v>
      </c>
    </row>
    <row r="80" spans="1:7" x14ac:dyDescent="0.3">
      <c r="A80" s="182"/>
      <c r="B80" s="186"/>
      <c r="C80" s="187"/>
      <c r="D80" s="186"/>
      <c r="E80" s="187"/>
      <c r="F80" s="188"/>
      <c r="G80" s="187"/>
    </row>
    <row r="81" spans="1:7" x14ac:dyDescent="0.3">
      <c r="F81" s="124"/>
    </row>
    <row r="82" spans="1:7" x14ac:dyDescent="0.3">
      <c r="A82" s="171" t="s">
        <v>235</v>
      </c>
      <c r="B82" s="172"/>
      <c r="C82" s="172"/>
      <c r="D82" s="172"/>
      <c r="E82" s="172"/>
      <c r="F82" s="176"/>
      <c r="G82" s="172"/>
    </row>
    <row r="83" spans="1:7" x14ac:dyDescent="0.3">
      <c r="A83" s="174" t="s">
        <v>75</v>
      </c>
      <c r="B83" s="172">
        <v>513885.8149111516</v>
      </c>
      <c r="C83" s="175">
        <f>+'Loss Expansion Factors - Energy'!F20</f>
        <v>1.0182461500731781</v>
      </c>
      <c r="D83" s="172">
        <f>+B83*C83</f>
        <v>523262.25261049788</v>
      </c>
      <c r="E83" s="175">
        <f t="shared" ref="E83:E84" si="18">+B83/D83</f>
        <v>0.98208080622561966</v>
      </c>
      <c r="F83" s="176">
        <f>+D83-B83</f>
        <v>9376.4376993462793</v>
      </c>
      <c r="G83" s="172">
        <v>0</v>
      </c>
    </row>
    <row r="84" spans="1:7" x14ac:dyDescent="0.3">
      <c r="A84" s="181" t="s">
        <v>236</v>
      </c>
      <c r="B84" s="178">
        <v>513885.8149111516</v>
      </c>
      <c r="C84" s="179">
        <f>+D84/B84</f>
        <v>1.0182461500731781</v>
      </c>
      <c r="D84" s="178">
        <f>+D83</f>
        <v>523262.25261049788</v>
      </c>
      <c r="E84" s="179">
        <f t="shared" si="18"/>
        <v>0.98208080622561966</v>
      </c>
      <c r="F84" s="180">
        <f>+F83</f>
        <v>9376.4376993462793</v>
      </c>
      <c r="G84" s="179">
        <f>+$E$98/E84</f>
        <v>0.96911068240127929</v>
      </c>
    </row>
    <row r="85" spans="1:7" x14ac:dyDescent="0.3">
      <c r="F85" s="124"/>
    </row>
    <row r="86" spans="1:7" x14ac:dyDescent="0.3">
      <c r="A86" s="171" t="s">
        <v>237</v>
      </c>
      <c r="B86" s="172"/>
      <c r="C86" s="172"/>
      <c r="D86" s="172"/>
      <c r="E86" s="172"/>
      <c r="F86" s="176"/>
      <c r="G86" s="172"/>
    </row>
    <row r="87" spans="1:7" x14ac:dyDescent="0.3">
      <c r="A87" s="174" t="s">
        <v>75</v>
      </c>
      <c r="B87" s="172">
        <v>4624710.7876044288</v>
      </c>
      <c r="C87" s="175">
        <f>+'Loss Expansion Factors - Energy'!F20</f>
        <v>1.0182461500731781</v>
      </c>
      <c r="D87" s="172">
        <f>+B87*C87</f>
        <v>4709093.9546801047</v>
      </c>
      <c r="E87" s="175">
        <f t="shared" ref="E87:E88" si="19">+B87/D87</f>
        <v>0.98208080622561966</v>
      </c>
      <c r="F87" s="176">
        <f>+D87-B87</f>
        <v>84383.167075675912</v>
      </c>
      <c r="G87" s="172">
        <v>0</v>
      </c>
    </row>
    <row r="88" spans="1:7" x14ac:dyDescent="0.3">
      <c r="A88" s="181" t="s">
        <v>238</v>
      </c>
      <c r="B88" s="178">
        <v>4624710.7876044288</v>
      </c>
      <c r="C88" s="179">
        <f>+D88/B88</f>
        <v>1.0182461500731781</v>
      </c>
      <c r="D88" s="178">
        <f>+D87</f>
        <v>4709093.9546801047</v>
      </c>
      <c r="E88" s="179">
        <f t="shared" si="19"/>
        <v>0.98208080622561966</v>
      </c>
      <c r="F88" s="180">
        <f>+F87</f>
        <v>84383.167075675912</v>
      </c>
      <c r="G88" s="179">
        <f>+$E$98/E88</f>
        <v>0.96911068240127929</v>
      </c>
    </row>
    <row r="89" spans="1:7" x14ac:dyDescent="0.3">
      <c r="F89" s="124"/>
    </row>
    <row r="90" spans="1:7" x14ac:dyDescent="0.3">
      <c r="A90" s="171" t="s">
        <v>239</v>
      </c>
      <c r="B90" s="172"/>
      <c r="C90" s="172"/>
      <c r="D90" s="172"/>
      <c r="E90" s="172"/>
      <c r="F90" s="176"/>
      <c r="G90" s="172"/>
    </row>
    <row r="91" spans="1:7" x14ac:dyDescent="0.3">
      <c r="A91" s="174" t="s">
        <v>75</v>
      </c>
      <c r="B91" s="172">
        <v>460879.73648441944</v>
      </c>
      <c r="C91" s="175">
        <f>+'Loss Expansion Factors - Energy'!F20</f>
        <v>1.0182461500731781</v>
      </c>
      <c r="D91" s="172">
        <f>+B91*C91</f>
        <v>469289.01732200093</v>
      </c>
      <c r="E91" s="175">
        <f t="shared" ref="E91:E92" si="20">+B91/D91</f>
        <v>0.98208080622561955</v>
      </c>
      <c r="F91" s="176">
        <f>+D91-B91</f>
        <v>8409.280837581493</v>
      </c>
      <c r="G91" s="172">
        <v>0</v>
      </c>
    </row>
    <row r="92" spans="1:7" x14ac:dyDescent="0.3">
      <c r="A92" s="181" t="s">
        <v>240</v>
      </c>
      <c r="B92" s="178">
        <v>460879.73648441944</v>
      </c>
      <c r="C92" s="179">
        <f>+D92/B92</f>
        <v>1.0182461500731781</v>
      </c>
      <c r="D92" s="178">
        <f>+D91</f>
        <v>469289.01732200093</v>
      </c>
      <c r="E92" s="179">
        <f t="shared" si="20"/>
        <v>0.98208080622561955</v>
      </c>
      <c r="F92" s="180">
        <f>+F91</f>
        <v>8409.280837581493</v>
      </c>
      <c r="G92" s="179">
        <f>+$E$98/E92</f>
        <v>0.9691106824012794</v>
      </c>
    </row>
    <row r="93" spans="1:7" x14ac:dyDescent="0.3">
      <c r="F93" s="124"/>
    </row>
    <row r="94" spans="1:7" x14ac:dyDescent="0.3">
      <c r="B94" s="172"/>
      <c r="C94" s="172"/>
      <c r="D94" s="172"/>
      <c r="E94" s="172"/>
      <c r="F94" s="176"/>
      <c r="G94" s="172"/>
    </row>
    <row r="95" spans="1:7" ht="15" thickBot="1" x14ac:dyDescent="0.35">
      <c r="A95" s="182" t="s">
        <v>241</v>
      </c>
      <c r="B95" s="183">
        <f>+B84+B88+B92</f>
        <v>5599476.3389999997</v>
      </c>
      <c r="C95" s="184">
        <f>+D95/B95</f>
        <v>1.0182461500731781</v>
      </c>
      <c r="D95" s="183">
        <f>+D84+D88+D92</f>
        <v>5701645.2246126039</v>
      </c>
      <c r="E95" s="184">
        <f t="shared" ref="E95" si="21">+B95/D95</f>
        <v>0.98208080622561955</v>
      </c>
      <c r="F95" s="185">
        <f>+F84+F88+F92</f>
        <v>102168.88561260368</v>
      </c>
      <c r="G95" s="184">
        <f>+E102/E95</f>
        <v>0.96910771781755434</v>
      </c>
    </row>
    <row r="96" spans="1:7" x14ac:dyDescent="0.3">
      <c r="F96" s="124"/>
    </row>
    <row r="97" spans="1:7" x14ac:dyDescent="0.3">
      <c r="B97" s="172"/>
      <c r="C97" s="172"/>
      <c r="D97" s="172"/>
      <c r="E97" s="172"/>
      <c r="F97" s="176"/>
      <c r="G97" s="175"/>
    </row>
    <row r="98" spans="1:7" ht="15" thickBot="1" x14ac:dyDescent="0.35">
      <c r="A98" s="182" t="s">
        <v>242</v>
      </c>
      <c r="B98" s="189">
        <f>+B79+B95</f>
        <v>110030574.08499999</v>
      </c>
      <c r="C98" s="190">
        <f>+D98/B98</f>
        <v>1.0507016056722747</v>
      </c>
      <c r="D98" s="189">
        <f>+D79+D95</f>
        <v>115609300.86415167</v>
      </c>
      <c r="E98" s="190">
        <f t="shared" ref="E98" si="22">+B98/D98</f>
        <v>0.95174500029450881</v>
      </c>
      <c r="F98" s="185">
        <f>+F79+F95</f>
        <v>5578726.7791516818</v>
      </c>
      <c r="G98" s="190">
        <f>+E102/E98</f>
        <v>0.99999694092348912</v>
      </c>
    </row>
    <row r="99" spans="1:7" x14ac:dyDescent="0.3">
      <c r="B99" s="172"/>
      <c r="C99" s="172"/>
      <c r="D99" s="172"/>
      <c r="E99" s="172"/>
      <c r="F99" s="176"/>
      <c r="G99" s="172"/>
    </row>
    <row r="100" spans="1:7" x14ac:dyDescent="0.3">
      <c r="A100" s="192" t="s">
        <v>244</v>
      </c>
      <c r="B100" s="193">
        <v>123235</v>
      </c>
      <c r="C100" s="194">
        <f>+'Loss Expansion Factors - Energy'!F50</f>
        <v>1.0535746115460856</v>
      </c>
      <c r="D100" s="193">
        <f>+B100*C100</f>
        <v>129837.26725388186</v>
      </c>
      <c r="E100" s="194">
        <f t="shared" ref="E100" si="23">+B100/D100</f>
        <v>0.94914967486975921</v>
      </c>
      <c r="F100" s="176">
        <f>+D100-B100</f>
        <v>6602.2672538818588</v>
      </c>
      <c r="G100" s="194"/>
    </row>
    <row r="101" spans="1:7" x14ac:dyDescent="0.3">
      <c r="B101" s="172"/>
      <c r="C101" s="172"/>
      <c r="D101" s="172"/>
      <c r="E101" s="172"/>
      <c r="F101" s="176"/>
      <c r="G101" s="172"/>
    </row>
    <row r="102" spans="1:7" ht="15" thickBot="1" x14ac:dyDescent="0.35">
      <c r="A102" s="182" t="s">
        <v>243</v>
      </c>
      <c r="B102" s="195">
        <f>+B98+B100</f>
        <v>110153809.08499999</v>
      </c>
      <c r="C102" s="196">
        <f>+D102/B102</f>
        <v>1.050704819858709</v>
      </c>
      <c r="D102" s="195">
        <f>+D98+D100</f>
        <v>115739138.13140555</v>
      </c>
      <c r="E102" s="196">
        <f t="shared" ref="E102" si="24">+B102/D102</f>
        <v>0.95174208883373401</v>
      </c>
      <c r="F102" s="197">
        <f>+F98+F100</f>
        <v>5585329.0464055641</v>
      </c>
      <c r="G102" s="196">
        <v>1</v>
      </c>
    </row>
    <row r="103" spans="1:7" ht="15" thickTop="1" x14ac:dyDescent="0.3"/>
    <row r="104" spans="1:7" x14ac:dyDescent="0.3">
      <c r="F104" s="198"/>
    </row>
    <row r="105" spans="1:7" x14ac:dyDescent="0.3">
      <c r="A105" s="192" t="s">
        <v>75</v>
      </c>
      <c r="B105" s="198">
        <f>+B16+B43+B75+B83+B87+B91</f>
        <v>7185763.9383754227</v>
      </c>
      <c r="C105" s="62">
        <f>+D105/B105</f>
        <v>1.0182461500731781</v>
      </c>
      <c r="D105" s="198">
        <f>+D16+D43+D75+D83+D87+D91</f>
        <v>7316876.4655854525</v>
      </c>
      <c r="E105" s="194"/>
      <c r="F105" s="198">
        <f>+F16+F43+F75+F83+F87+F91</f>
        <v>131112.52721002916</v>
      </c>
    </row>
    <row r="106" spans="1:7" x14ac:dyDescent="0.3">
      <c r="A106" s="192" t="s">
        <v>76</v>
      </c>
      <c r="B106" s="198">
        <f>+B6+B11+B28+B33+B38+B47+B55+B71</f>
        <v>2494087.7276207823</v>
      </c>
      <c r="C106" s="62">
        <f t="shared" ref="C106:C107" si="25">+D106/B106</f>
        <v>1.0286129790801488</v>
      </c>
      <c r="D106" s="198">
        <f>+D6+D11+D28+D33+D38+D47+D55+D71</f>
        <v>2565451.0075952518</v>
      </c>
      <c r="E106" s="194"/>
      <c r="F106" s="198">
        <f>+F6+F11+F28+F33+F38+F47+F55+F71</f>
        <v>71363.279974468853</v>
      </c>
    </row>
    <row r="107" spans="1:7" x14ac:dyDescent="0.3">
      <c r="A107" s="192" t="s">
        <v>77</v>
      </c>
      <c r="B107" s="198">
        <f>+B7+B12+B20+B24+B29+B34+B39+B51+B59+B63+B67</f>
        <v>100350722.4190038</v>
      </c>
      <c r="C107" s="62">
        <f t="shared" si="25"/>
        <v>1.0535746115460853</v>
      </c>
      <c r="D107" s="198">
        <f>+D7+D12+D20+D24+D29+D34+D39+D51+D59+D63+D67</f>
        <v>105726973.39097098</v>
      </c>
      <c r="E107" s="194"/>
      <c r="F107" s="201">
        <f>+F7+F12+F20+F24+F29+F34+F39+F51+F59+F63+F67</f>
        <v>5376250.9719671849</v>
      </c>
    </row>
    <row r="108" spans="1:7" x14ac:dyDescent="0.3">
      <c r="A108" s="192" t="s">
        <v>242</v>
      </c>
      <c r="B108" s="198">
        <f>SUM(B105:B107)</f>
        <v>110030574.08500001</v>
      </c>
      <c r="D108" s="198">
        <f>SUM(D105:D107)</f>
        <v>115609300.86415169</v>
      </c>
      <c r="F108" s="198">
        <f>SUM(F105:F107)</f>
        <v>5578726.7791516827</v>
      </c>
    </row>
    <row r="109" spans="1:7" x14ac:dyDescent="0.3">
      <c r="A109" s="192" t="s">
        <v>246</v>
      </c>
      <c r="B109" s="116">
        <f>+'Data Summary'!C23+'Data Summary'!C24+'Data Summary'!C25</f>
        <v>7512377</v>
      </c>
      <c r="C109" s="62">
        <f>+'Loss Expansion Factors - Energy'!F20</f>
        <v>1.0182461500731781</v>
      </c>
      <c r="D109" s="198">
        <f>+B109*C109</f>
        <v>7649448.9581482913</v>
      </c>
      <c r="F109" s="202">
        <f>+D109-B109</f>
        <v>137071.95814829133</v>
      </c>
    </row>
    <row r="110" spans="1:7" x14ac:dyDescent="0.3">
      <c r="A110" s="192"/>
      <c r="F110" s="199">
        <f>SUM(F108+F109)</f>
        <v>5715798.7372999741</v>
      </c>
    </row>
    <row r="111" spans="1:7" x14ac:dyDescent="0.3">
      <c r="A111" s="192" t="s">
        <v>247</v>
      </c>
      <c r="F111" s="203">
        <f>+'Losses, Sales &amp; Co Use'!C9</f>
        <v>151224</v>
      </c>
    </row>
    <row r="112" spans="1:7" x14ac:dyDescent="0.3">
      <c r="A112" s="192"/>
      <c r="F112" s="199">
        <f>SUM(F110:F111)</f>
        <v>5867022.7372999741</v>
      </c>
    </row>
    <row r="113" spans="1:11" x14ac:dyDescent="0.3">
      <c r="A113" s="192" t="s">
        <v>63</v>
      </c>
      <c r="F113" s="203">
        <f>+F100</f>
        <v>6602.2672538818588</v>
      </c>
    </row>
    <row r="114" spans="1:11" ht="15" thickBot="1" x14ac:dyDescent="0.35">
      <c r="A114" s="192" t="s">
        <v>245</v>
      </c>
      <c r="F114" s="204">
        <f>SUM(F112:F113)</f>
        <v>5873625.0045538563</v>
      </c>
    </row>
    <row r="115" spans="1:11" ht="15" thickTop="1" x14ac:dyDescent="0.3">
      <c r="A115" s="192"/>
      <c r="F115" s="228"/>
    </row>
    <row r="116" spans="1:11" x14ac:dyDescent="0.3">
      <c r="A116" s="192"/>
      <c r="F116" s="228"/>
    </row>
    <row r="117" spans="1:11" x14ac:dyDescent="0.3">
      <c r="A117" s="192"/>
      <c r="F117" s="228"/>
    </row>
    <row r="118" spans="1:11" x14ac:dyDescent="0.3">
      <c r="A118" s="192"/>
      <c r="F118" s="228"/>
    </row>
    <row r="119" spans="1:11" x14ac:dyDescent="0.3">
      <c r="A119" s="192"/>
      <c r="F119" s="228"/>
    </row>
    <row r="120" spans="1:11" x14ac:dyDescent="0.3">
      <c r="A120" s="192"/>
      <c r="F120" s="228"/>
    </row>
    <row r="121" spans="1:11" x14ac:dyDescent="0.3">
      <c r="A121" s="192"/>
      <c r="F121" s="228"/>
    </row>
    <row r="122" spans="1:11" x14ac:dyDescent="0.3">
      <c r="A122" s="192"/>
      <c r="F122" s="228"/>
    </row>
    <row r="123" spans="1:11" x14ac:dyDescent="0.3">
      <c r="A123" s="192"/>
      <c r="F123" s="228"/>
    </row>
    <row r="124" spans="1:11" x14ac:dyDescent="0.3">
      <c r="A124" s="192"/>
      <c r="F124" s="228"/>
    </row>
    <row r="125" spans="1:11" ht="15" thickBot="1" x14ac:dyDescent="0.35">
      <c r="A125" s="1"/>
      <c r="B125" s="1"/>
      <c r="C125" s="1"/>
      <c r="D125" s="1"/>
      <c r="E125" s="1"/>
      <c r="F125" s="1"/>
      <c r="G125" s="1"/>
    </row>
    <row r="127" spans="1:11" x14ac:dyDescent="0.3">
      <c r="I127" s="116"/>
      <c r="K127" s="116"/>
    </row>
    <row r="128" spans="1:11" x14ac:dyDescent="0.3">
      <c r="F128" s="199"/>
      <c r="I128" s="198"/>
    </row>
    <row r="129" spans="6:12" x14ac:dyDescent="0.3">
      <c r="I129" s="199"/>
      <c r="K129" s="200"/>
      <c r="L129" s="199"/>
    </row>
    <row r="130" spans="6:12" x14ac:dyDescent="0.3">
      <c r="F130" s="116"/>
      <c r="L130" s="199"/>
    </row>
  </sheetData>
  <printOptions horizontalCentered="1"/>
  <pageMargins left="0.75" right="0.5" top="1.25" bottom="0.5" header="0.5" footer="0.1"/>
  <pageSetup scale="75" orientation="portrait" r:id="rId1"/>
  <headerFooter>
    <oddHeader>&amp;C&amp;"Arial,Bold"&amp;12LINE LOSS STUDY - 2014 ACTUALS
Florida Power and Light Company&amp;"Arial,Regular"
&amp;"Arial,Bold"Energy Losses by Rate Class&amp;"Arial,Regular"
&amp;"Arial,Bold"December 2014</oddHeader>
    <oddFooter>&amp;C&amp;10&amp;"Arial,"&amp;P of &amp;N</oddFooter>
  </headerFooter>
  <rowBreaks count="1" manualBreakCount="1">
    <brk id="57" max="16383" man="1"/>
  </rowBreaks>
  <ignoredErrors>
    <ignoredError sqref="C8 E8 C13 C17 E13 E17 E21 E25 E30 C21 C25 C30 C35 C40 E35 E40 C44 E44 C48 C52 C56 C60 E60 E56 E52 E48 C64 C68 C72 C76 E76 E72 E68 E64 C79 E79 E84 E88 E92 E95 C95 C98 C102 E98 E102 F1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G168"/>
  <sheetViews>
    <sheetView showGridLines="0" showZeros="0" workbookViewId="0">
      <pane xSplit="1" ySplit="4" topLeftCell="B5"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32.6640625" customWidth="1"/>
    <col min="2" max="2" width="14.6640625" customWidth="1"/>
    <col min="3" max="3" width="13.6640625" customWidth="1"/>
    <col min="4" max="4" width="14.6640625" customWidth="1"/>
    <col min="5" max="7" width="13.6640625" customWidth="1"/>
  </cols>
  <sheetData>
    <row r="1" spans="1:7" x14ac:dyDescent="0.3">
      <c r="A1" s="235" t="s">
        <v>284</v>
      </c>
    </row>
    <row r="2" spans="1:7" x14ac:dyDescent="0.3">
      <c r="A2" s="235" t="s">
        <v>277</v>
      </c>
    </row>
    <row r="3" spans="1:7" ht="15" thickBot="1" x14ac:dyDescent="0.35"/>
    <row r="4" spans="1:7" ht="40.200000000000003" thickBot="1" x14ac:dyDescent="0.35">
      <c r="A4" s="94" t="s">
        <v>194</v>
      </c>
      <c r="B4" s="94" t="s">
        <v>263</v>
      </c>
      <c r="C4" s="94" t="s">
        <v>122</v>
      </c>
      <c r="D4" s="94" t="s">
        <v>255</v>
      </c>
      <c r="E4" s="94" t="s">
        <v>197</v>
      </c>
      <c r="F4" s="94" t="s">
        <v>198</v>
      </c>
      <c r="G4" s="94" t="s">
        <v>199</v>
      </c>
    </row>
    <row r="5" spans="1:7" x14ac:dyDescent="0.3">
      <c r="A5" s="171" t="s">
        <v>200</v>
      </c>
      <c r="B5" s="172"/>
      <c r="C5" s="172"/>
      <c r="D5" s="172"/>
      <c r="E5" s="172"/>
      <c r="F5" s="173"/>
      <c r="G5" s="172"/>
    </row>
    <row r="6" spans="1:7" x14ac:dyDescent="0.3">
      <c r="A6" s="174" t="s">
        <v>76</v>
      </c>
      <c r="B6" s="172">
        <v>134614.1402008404</v>
      </c>
      <c r="C6" s="175">
        <f>+'Loss Expansion Factors - Demand'!G26</f>
        <v>1.036779223962337</v>
      </c>
      <c r="D6" s="172">
        <f>+B6*C6</f>
        <v>139565.14381178454</v>
      </c>
      <c r="E6" s="175">
        <f>+B6/D6</f>
        <v>0.96452550059618758</v>
      </c>
      <c r="F6" s="176">
        <f>+D6-B6</f>
        <v>4951.0036109441426</v>
      </c>
      <c r="G6" s="172">
        <v>0</v>
      </c>
    </row>
    <row r="7" spans="1:7" x14ac:dyDescent="0.3">
      <c r="A7" s="174" t="s">
        <v>77</v>
      </c>
      <c r="B7" s="172">
        <v>208688.19313249292</v>
      </c>
      <c r="C7" s="175">
        <f>+'Loss Expansion Factors - Demand'!G40</f>
        <v>1.0699729449745548</v>
      </c>
      <c r="D7" s="172">
        <f>+B7*C7</f>
        <v>223290.7205873921</v>
      </c>
      <c r="E7" s="175">
        <f>+B7/D7</f>
        <v>0.93460307075687898</v>
      </c>
      <c r="F7" s="176">
        <f>+D7-B7</f>
        <v>14602.527454899187</v>
      </c>
      <c r="G7" s="172">
        <v>0</v>
      </c>
    </row>
    <row r="8" spans="1:7" x14ac:dyDescent="0.3">
      <c r="A8" s="181" t="s">
        <v>201</v>
      </c>
      <c r="B8" s="178">
        <f>+B6+B7</f>
        <v>343302.33333333331</v>
      </c>
      <c r="C8" s="179">
        <f>+D8/B8</f>
        <v>1.0569571749658271</v>
      </c>
      <c r="D8" s="178">
        <f>+D6+D7</f>
        <v>362855.86439917667</v>
      </c>
      <c r="E8" s="179">
        <f>+B8/D8</f>
        <v>0.94611212609662387</v>
      </c>
      <c r="F8" s="180">
        <f>+F6+F7</f>
        <v>19553.53106584333</v>
      </c>
      <c r="G8" s="179">
        <f>+$E$115/E8</f>
        <v>0.99102912073248006</v>
      </c>
    </row>
    <row r="9" spans="1:7" x14ac:dyDescent="0.3">
      <c r="F9" s="124"/>
    </row>
    <row r="10" spans="1:7" x14ac:dyDescent="0.3">
      <c r="A10" s="171" t="s">
        <v>202</v>
      </c>
      <c r="B10" s="172"/>
      <c r="C10" s="172"/>
      <c r="D10" s="172"/>
      <c r="E10" s="172"/>
      <c r="F10" s="176"/>
      <c r="G10" s="172"/>
    </row>
    <row r="11" spans="1:7" x14ac:dyDescent="0.3">
      <c r="A11" s="174" t="s">
        <v>76</v>
      </c>
      <c r="B11" s="172">
        <v>267.9568225426143</v>
      </c>
      <c r="C11" s="175">
        <f>+'Loss Expansion Factors - Demand'!G26</f>
        <v>1.036779223962337</v>
      </c>
      <c r="D11" s="172">
        <f t="shared" ref="D11:D12" si="0">+B11*C11</f>
        <v>277.81206653114532</v>
      </c>
      <c r="E11" s="175">
        <f t="shared" ref="E11:E12" si="1">+B11/D11</f>
        <v>0.96452550059618758</v>
      </c>
      <c r="F11" s="176">
        <f t="shared" ref="F11:F12" si="2">+D11-B11</f>
        <v>9.855243988531015</v>
      </c>
      <c r="G11" s="172">
        <v>0</v>
      </c>
    </row>
    <row r="12" spans="1:7" x14ac:dyDescent="0.3">
      <c r="A12" s="174" t="s">
        <v>77</v>
      </c>
      <c r="B12" s="172">
        <v>18501.626510790717</v>
      </c>
      <c r="C12" s="175">
        <f>+'Loss Expansion Factors - Demand'!G40</f>
        <v>1.0699729449745548</v>
      </c>
      <c r="D12" s="172">
        <f t="shared" si="0"/>
        <v>19796.239804570039</v>
      </c>
      <c r="E12" s="175">
        <f t="shared" si="1"/>
        <v>0.93460307075687898</v>
      </c>
      <c r="F12" s="176">
        <f t="shared" si="2"/>
        <v>1294.6132937793227</v>
      </c>
      <c r="G12" s="172">
        <v>0</v>
      </c>
    </row>
    <row r="13" spans="1:7" x14ac:dyDescent="0.3">
      <c r="A13" s="181" t="s">
        <v>203</v>
      </c>
      <c r="B13" s="178">
        <f>+B11+B12</f>
        <v>18769.583333333332</v>
      </c>
      <c r="C13" s="179">
        <f>+D13/B13</f>
        <v>1.0694990674327445</v>
      </c>
      <c r="D13" s="178">
        <f>+D11+D12</f>
        <v>20074.051871101183</v>
      </c>
      <c r="E13" s="179">
        <f>+B13/D13</f>
        <v>0.93501717808920393</v>
      </c>
      <c r="F13" s="180">
        <f>+F11+F12</f>
        <v>1304.4685377678538</v>
      </c>
      <c r="G13" s="179">
        <f>+$E$115/E13</f>
        <v>1.002788708498382</v>
      </c>
    </row>
    <row r="14" spans="1:7" x14ac:dyDescent="0.3">
      <c r="F14" s="124"/>
    </row>
    <row r="15" spans="1:7" x14ac:dyDescent="0.3">
      <c r="A15" s="171" t="s">
        <v>204</v>
      </c>
      <c r="B15" s="172"/>
      <c r="C15" s="172"/>
      <c r="D15" s="172"/>
      <c r="E15" s="172"/>
      <c r="F15" s="176"/>
      <c r="G15" s="172"/>
    </row>
    <row r="16" spans="1:7" x14ac:dyDescent="0.3">
      <c r="A16" s="174" t="s">
        <v>75</v>
      </c>
      <c r="B16" s="172">
        <v>163745.08333333334</v>
      </c>
      <c r="C16" s="175">
        <f>+'Loss Expansion Factors - Demand'!G14</f>
        <v>1.0230839872669728</v>
      </c>
      <c r="D16" s="172">
        <f>+B16*C16</f>
        <v>167524.9727520294</v>
      </c>
      <c r="E16" s="175">
        <f>+B16/D16</f>
        <v>0.9774368599701786</v>
      </c>
      <c r="F16" s="176">
        <f>+D16-B16</f>
        <v>3779.8894186960533</v>
      </c>
      <c r="G16" s="172">
        <v>0</v>
      </c>
    </row>
    <row r="17" spans="1:7" x14ac:dyDescent="0.3">
      <c r="A17" s="181" t="s">
        <v>205</v>
      </c>
      <c r="B17" s="178">
        <f>+B16</f>
        <v>163745.08333333334</v>
      </c>
      <c r="C17" s="179">
        <f>+D17/B17</f>
        <v>1.0230839872669728</v>
      </c>
      <c r="D17" s="178">
        <f>+D16</f>
        <v>167524.9727520294</v>
      </c>
      <c r="E17" s="179">
        <f>+B17/D17</f>
        <v>0.9774368599701786</v>
      </c>
      <c r="F17" s="180">
        <f>+F16</f>
        <v>3779.8894186960533</v>
      </c>
      <c r="G17" s="179">
        <f>+$E$115/E17</f>
        <v>0.95926878434734009</v>
      </c>
    </row>
    <row r="18" spans="1:7" x14ac:dyDescent="0.3">
      <c r="F18" s="124"/>
    </row>
    <row r="19" spans="1:7" x14ac:dyDescent="0.3">
      <c r="A19" s="171" t="s">
        <v>206</v>
      </c>
      <c r="B19" s="172"/>
      <c r="C19" s="172"/>
      <c r="D19" s="172"/>
      <c r="E19" s="172"/>
      <c r="F19" s="176"/>
      <c r="G19" s="172"/>
    </row>
    <row r="20" spans="1:7" x14ac:dyDescent="0.3">
      <c r="A20" s="174" t="s">
        <v>77</v>
      </c>
      <c r="B20" s="172">
        <v>1143540.6666666667</v>
      </c>
      <c r="C20" s="175">
        <f>+'Loss Expansion Factors - Demand'!G40</f>
        <v>1.0699729449745548</v>
      </c>
      <c r="D20" s="172">
        <f>+B20*C20</f>
        <v>1223557.5748114991</v>
      </c>
      <c r="E20" s="175">
        <f>+B20/D20</f>
        <v>0.93460307075687898</v>
      </c>
      <c r="F20" s="176">
        <f>+D20-B20</f>
        <v>80016.908144832356</v>
      </c>
      <c r="G20" s="172">
        <v>0</v>
      </c>
    </row>
    <row r="21" spans="1:7" x14ac:dyDescent="0.3">
      <c r="A21" s="181" t="s">
        <v>207</v>
      </c>
      <c r="B21" s="178">
        <f>+B20</f>
        <v>1143540.6666666667</v>
      </c>
      <c r="C21" s="179">
        <f>+D21/B21</f>
        <v>1.0699729449745548</v>
      </c>
      <c r="D21" s="178">
        <f>+D20</f>
        <v>1223557.5748114991</v>
      </c>
      <c r="E21" s="179">
        <f>+B21/D21</f>
        <v>0.93460307075687898</v>
      </c>
      <c r="F21" s="180">
        <f>+F20</f>
        <v>80016.908144832356</v>
      </c>
      <c r="G21" s="179">
        <f>+$E$115/E21</f>
        <v>1.003233027771403</v>
      </c>
    </row>
    <row r="22" spans="1:7" x14ac:dyDescent="0.3">
      <c r="F22" s="124"/>
    </row>
    <row r="23" spans="1:7" x14ac:dyDescent="0.3">
      <c r="A23" s="171" t="s">
        <v>208</v>
      </c>
      <c r="B23" s="172"/>
      <c r="C23" s="172"/>
      <c r="D23" s="172"/>
      <c r="E23" s="172"/>
      <c r="F23" s="176"/>
      <c r="G23" s="172"/>
    </row>
    <row r="24" spans="1:7" x14ac:dyDescent="0.3">
      <c r="A24" s="174" t="s">
        <v>77</v>
      </c>
      <c r="B24" s="172">
        <v>9951</v>
      </c>
      <c r="C24" s="175">
        <f>+'Loss Expansion Factors - Demand'!G40</f>
        <v>1.0699729449745548</v>
      </c>
      <c r="D24" s="172">
        <f>+B24*C24</f>
        <v>10647.300775441794</v>
      </c>
      <c r="E24" s="175">
        <f>+B24/D24</f>
        <v>0.93460307075687898</v>
      </c>
      <c r="F24" s="176">
        <f>+D24-B24</f>
        <v>696.30077544179403</v>
      </c>
      <c r="G24" s="172">
        <v>0</v>
      </c>
    </row>
    <row r="25" spans="1:7" x14ac:dyDescent="0.3">
      <c r="A25" s="181" t="s">
        <v>209</v>
      </c>
      <c r="B25" s="178">
        <f>+B24</f>
        <v>9951</v>
      </c>
      <c r="C25" s="179">
        <f>+D25/B25</f>
        <v>1.0699729449745548</v>
      </c>
      <c r="D25" s="178">
        <f>+D24</f>
        <v>10647.300775441794</v>
      </c>
      <c r="E25" s="179">
        <f>+B25/D25</f>
        <v>0.93460307075687898</v>
      </c>
      <c r="F25" s="180">
        <f>+F24</f>
        <v>696.30077544179403</v>
      </c>
      <c r="G25" s="179">
        <f>+$E$115/E25</f>
        <v>1.003233027771403</v>
      </c>
    </row>
    <row r="26" spans="1:7" x14ac:dyDescent="0.3">
      <c r="F26" s="124"/>
    </row>
    <row r="27" spans="1:7" x14ac:dyDescent="0.3">
      <c r="A27" s="171" t="s">
        <v>210</v>
      </c>
      <c r="B27" s="172"/>
      <c r="C27" s="172"/>
      <c r="D27" s="172"/>
      <c r="E27" s="172"/>
      <c r="F27" s="176"/>
      <c r="G27" s="172"/>
    </row>
    <row r="28" spans="1:7" x14ac:dyDescent="0.3">
      <c r="A28" s="174" t="s">
        <v>76</v>
      </c>
      <c r="B28" s="172">
        <v>11024.20139245989</v>
      </c>
      <c r="C28" s="175">
        <f>+'Loss Expansion Factors - Demand'!G26</f>
        <v>1.036779223962337</v>
      </c>
      <c r="D28" s="172">
        <f t="shared" ref="D28:D29" si="3">+B28*C28</f>
        <v>11429.662964479081</v>
      </c>
      <c r="E28" s="175">
        <f t="shared" ref="E28:E29" si="4">+B28/D28</f>
        <v>0.96452550059618758</v>
      </c>
      <c r="F28" s="176">
        <f t="shared" ref="F28:F29" si="5">+D28-B28</f>
        <v>405.4615720191905</v>
      </c>
      <c r="G28" s="172">
        <v>0</v>
      </c>
    </row>
    <row r="29" spans="1:7" x14ac:dyDescent="0.3">
      <c r="A29" s="174" t="s">
        <v>77</v>
      </c>
      <c r="B29" s="172">
        <v>3815200.0486075399</v>
      </c>
      <c r="C29" s="175">
        <f>+'Loss Expansion Factors - Demand'!G40:G40</f>
        <v>1.0699729449745548</v>
      </c>
      <c r="D29" s="172">
        <f t="shared" si="3"/>
        <v>4082160.8316756738</v>
      </c>
      <c r="E29" s="175">
        <f t="shared" si="4"/>
        <v>0.93460307075687898</v>
      </c>
      <c r="F29" s="176">
        <f t="shared" si="5"/>
        <v>266960.78306813398</v>
      </c>
      <c r="G29" s="172">
        <v>0</v>
      </c>
    </row>
    <row r="30" spans="1:7" x14ac:dyDescent="0.3">
      <c r="A30" s="181" t="s">
        <v>211</v>
      </c>
      <c r="B30" s="178">
        <f>+B28+B29</f>
        <v>3826224.2499999995</v>
      </c>
      <c r="C30" s="179">
        <f>+D30/B30</f>
        <v>1.0698773064961242</v>
      </c>
      <c r="D30" s="178">
        <f>+D28+D29</f>
        <v>4093590.4946401529</v>
      </c>
      <c r="E30" s="179">
        <f>+B30/D30</f>
        <v>0.93468661680003817</v>
      </c>
      <c r="F30" s="180">
        <f>+F28+F29</f>
        <v>267366.24464015319</v>
      </c>
      <c r="G30" s="179">
        <f>+$E$115/E30</f>
        <v>1.0031433547747746</v>
      </c>
    </row>
    <row r="31" spans="1:7" x14ac:dyDescent="0.3">
      <c r="F31" s="124"/>
    </row>
    <row r="32" spans="1:7" x14ac:dyDescent="0.3">
      <c r="A32" s="171" t="s">
        <v>212</v>
      </c>
      <c r="B32" s="172"/>
      <c r="C32" s="172"/>
      <c r="D32" s="172"/>
      <c r="E32" s="172"/>
      <c r="F32" s="176"/>
      <c r="G32" s="172"/>
    </row>
    <row r="33" spans="1:7" x14ac:dyDescent="0.3">
      <c r="A33" s="174" t="s">
        <v>76</v>
      </c>
      <c r="B33" s="172">
        <v>59239.843950263152</v>
      </c>
      <c r="C33" s="175">
        <f>+'Loss Expansion Factors - Demand'!G26</f>
        <v>1.036779223962337</v>
      </c>
      <c r="D33" s="172">
        <f t="shared" ref="D33:D34" si="6">+B33*C33</f>
        <v>61418.639438403778</v>
      </c>
      <c r="E33" s="175">
        <f t="shared" ref="E33:E34" si="7">+B33/D33</f>
        <v>0.96452550059618758</v>
      </c>
      <c r="F33" s="176">
        <f t="shared" ref="F33:F34" si="8">+D33-B33</f>
        <v>2178.7954881406258</v>
      </c>
      <c r="G33" s="172">
        <v>0</v>
      </c>
    </row>
    <row r="34" spans="1:7" x14ac:dyDescent="0.3">
      <c r="A34" s="174" t="s">
        <v>77</v>
      </c>
      <c r="B34" s="172">
        <v>1446044.6560497368</v>
      </c>
      <c r="C34" s="175">
        <f>+'Loss Expansion Factors - Demand'!G40</f>
        <v>1.0699729449745548</v>
      </c>
      <c r="D34" s="172">
        <f t="shared" si="6"/>
        <v>1547228.6591982539</v>
      </c>
      <c r="E34" s="175">
        <f t="shared" si="7"/>
        <v>0.9346030707568791</v>
      </c>
      <c r="F34" s="176">
        <f t="shared" si="8"/>
        <v>101184.00314851711</v>
      </c>
      <c r="G34" s="172">
        <v>0</v>
      </c>
    </row>
    <row r="35" spans="1:7" x14ac:dyDescent="0.3">
      <c r="A35" s="181" t="s">
        <v>213</v>
      </c>
      <c r="B35" s="178">
        <f>+B33+B34</f>
        <v>1505284.5</v>
      </c>
      <c r="C35" s="179">
        <f>+D35/B35</f>
        <v>1.0686666199224517</v>
      </c>
      <c r="D35" s="178">
        <f>+D33+D34</f>
        <v>1608647.2986366577</v>
      </c>
      <c r="E35" s="179">
        <f>+B35/D35</f>
        <v>0.93574551816034601</v>
      </c>
      <c r="F35" s="180">
        <f>+F33+F34</f>
        <v>103362.79863665774</v>
      </c>
      <c r="G35" s="179">
        <f>+$E$115/E35</f>
        <v>1.00200818517755</v>
      </c>
    </row>
    <row r="36" spans="1:7" x14ac:dyDescent="0.3">
      <c r="F36" s="124"/>
    </row>
    <row r="37" spans="1:7" x14ac:dyDescent="0.3">
      <c r="A37" s="171" t="s">
        <v>214</v>
      </c>
      <c r="B37" s="172"/>
      <c r="C37" s="172"/>
      <c r="D37" s="172"/>
      <c r="E37" s="172"/>
      <c r="F37" s="176"/>
      <c r="G37" s="172"/>
    </row>
    <row r="38" spans="1:7" x14ac:dyDescent="0.3">
      <c r="A38" s="174" t="s">
        <v>76</v>
      </c>
      <c r="B38" s="172">
        <v>100344.59732249925</v>
      </c>
      <c r="C38" s="175">
        <f>+'Loss Expansion Factors - Demand'!G26</f>
        <v>1.036779223962337</v>
      </c>
      <c r="D38" s="172">
        <f t="shared" ref="D38:D39" si="9">+B38*C38</f>
        <v>104035.19374083397</v>
      </c>
      <c r="E38" s="175">
        <f t="shared" ref="E38:E39" si="10">+B38/D38</f>
        <v>0.96452550059618758</v>
      </c>
      <c r="F38" s="176">
        <f t="shared" ref="F38:F39" si="11">+D38-B38</f>
        <v>3690.5964183347241</v>
      </c>
      <c r="G38" s="172">
        <v>0</v>
      </c>
    </row>
    <row r="39" spans="1:7" x14ac:dyDescent="0.3">
      <c r="A39" s="174" t="s">
        <v>77</v>
      </c>
      <c r="B39" s="172">
        <v>208207.56934416742</v>
      </c>
      <c r="C39" s="175">
        <f>+'Loss Expansion Factors - Demand'!G40</f>
        <v>1.0699729449745548</v>
      </c>
      <c r="D39" s="172">
        <f t="shared" si="9"/>
        <v>222776.46613717265</v>
      </c>
      <c r="E39" s="175">
        <f t="shared" si="10"/>
        <v>0.93460307075687898</v>
      </c>
      <c r="F39" s="176">
        <f t="shared" si="11"/>
        <v>14568.896793005231</v>
      </c>
      <c r="G39" s="172">
        <v>0</v>
      </c>
    </row>
    <row r="40" spans="1:7" x14ac:dyDescent="0.3">
      <c r="A40" s="181" t="s">
        <v>215</v>
      </c>
      <c r="B40" s="178">
        <f>+B38+B39</f>
        <v>308552.16666666669</v>
      </c>
      <c r="C40" s="179">
        <f>+D40/B40</f>
        <v>1.0591779776126671</v>
      </c>
      <c r="D40" s="178">
        <f>+D38+D39</f>
        <v>326811.65987800661</v>
      </c>
      <c r="E40" s="179">
        <f>+B40/D40</f>
        <v>0.94412839120196668</v>
      </c>
      <c r="F40" s="180">
        <f>+F38+F39</f>
        <v>18259.493211339955</v>
      </c>
      <c r="G40" s="179">
        <f>+$E$115/E40</f>
        <v>0.99311140007789367</v>
      </c>
    </row>
    <row r="41" spans="1:7" x14ac:dyDescent="0.3">
      <c r="F41" s="124"/>
    </row>
    <row r="42" spans="1:7" x14ac:dyDescent="0.3">
      <c r="A42" s="171" t="s">
        <v>216</v>
      </c>
      <c r="B42" s="172"/>
      <c r="C42" s="172"/>
      <c r="D42" s="172"/>
      <c r="E42" s="172"/>
      <c r="F42" s="176"/>
      <c r="G42" s="172"/>
    </row>
    <row r="43" spans="1:7" x14ac:dyDescent="0.3">
      <c r="A43" s="174" t="s">
        <v>75</v>
      </c>
      <c r="B43" s="172">
        <v>21023.5</v>
      </c>
      <c r="C43" s="175">
        <f>+'Loss Expansion Factors - Demand'!G14</f>
        <v>1.0230839872669728</v>
      </c>
      <c r="D43" s="172">
        <f>+B43*C43</f>
        <v>21508.806206307203</v>
      </c>
      <c r="E43" s="175">
        <f>+B43/D43</f>
        <v>0.97743685997017848</v>
      </c>
      <c r="F43" s="176">
        <f>+D43-B43</f>
        <v>485.30620630720296</v>
      </c>
      <c r="G43" s="172">
        <v>0</v>
      </c>
    </row>
    <row r="44" spans="1:7" x14ac:dyDescent="0.3">
      <c r="A44" s="181" t="s">
        <v>217</v>
      </c>
      <c r="B44" s="178">
        <f>+B43</f>
        <v>21023.5</v>
      </c>
      <c r="C44" s="179">
        <f>+D44/B44</f>
        <v>1.0230839872669728</v>
      </c>
      <c r="D44" s="178">
        <f>+D43</f>
        <v>21508.806206307203</v>
      </c>
      <c r="E44" s="179">
        <f>+B44/D44</f>
        <v>0.97743685997017848</v>
      </c>
      <c r="F44" s="180">
        <f>+F43</f>
        <v>485.30620630720296</v>
      </c>
      <c r="G44" s="179">
        <f>+$E$115/E44</f>
        <v>0.9592687843473402</v>
      </c>
    </row>
    <row r="45" spans="1:7" x14ac:dyDescent="0.3">
      <c r="F45" s="124"/>
    </row>
    <row r="46" spans="1:7" x14ac:dyDescent="0.3">
      <c r="A46" s="171" t="s">
        <v>218</v>
      </c>
      <c r="B46" s="172"/>
      <c r="C46" s="172"/>
      <c r="D46" s="172"/>
      <c r="E46" s="172"/>
      <c r="F46" s="176"/>
      <c r="G46" s="172"/>
    </row>
    <row r="47" spans="1:7" x14ac:dyDescent="0.3">
      <c r="A47" s="174" t="s">
        <v>76</v>
      </c>
      <c r="B47" s="172">
        <v>13481.583333333334</v>
      </c>
      <c r="C47" s="175">
        <f>+'Loss Expansion Factors - Demand'!G26</f>
        <v>1.036779223962337</v>
      </c>
      <c r="D47" s="172">
        <f>+B47*C47</f>
        <v>13977.425506116911</v>
      </c>
      <c r="E47" s="175">
        <f>+B47/D47</f>
        <v>0.96452550059618758</v>
      </c>
      <c r="F47" s="176">
        <f>+D47-B47</f>
        <v>495.84217278357755</v>
      </c>
      <c r="G47" s="172">
        <v>0</v>
      </c>
    </row>
    <row r="48" spans="1:7" x14ac:dyDescent="0.3">
      <c r="A48" s="181" t="s">
        <v>219</v>
      </c>
      <c r="B48" s="178">
        <f>+B47</f>
        <v>13481.583333333334</v>
      </c>
      <c r="C48" s="179">
        <f>+D48/B48</f>
        <v>1.036779223962337</v>
      </c>
      <c r="D48" s="178">
        <f>+D47</f>
        <v>13977.425506116911</v>
      </c>
      <c r="E48" s="179">
        <f>+B48/D48</f>
        <v>0.96452550059618758</v>
      </c>
      <c r="F48" s="180">
        <f>+F47</f>
        <v>495.84217278357755</v>
      </c>
      <c r="G48" s="179">
        <f>+$E$115/E48</f>
        <v>0.97210977611303662</v>
      </c>
    </row>
    <row r="49" spans="1:7" x14ac:dyDescent="0.3">
      <c r="F49" s="124"/>
    </row>
    <row r="50" spans="1:7" x14ac:dyDescent="0.3">
      <c r="A50" s="171" t="s">
        <v>220</v>
      </c>
      <c r="B50" s="172"/>
      <c r="C50" s="172"/>
      <c r="D50" s="172"/>
      <c r="E50" s="172"/>
      <c r="F50" s="176"/>
      <c r="G50" s="172"/>
    </row>
    <row r="51" spans="1:7" x14ac:dyDescent="0.3">
      <c r="A51" s="174" t="s">
        <v>77</v>
      </c>
      <c r="B51" s="172">
        <v>197.91666666666666</v>
      </c>
      <c r="C51" s="175">
        <f>+'Loss Expansion Factors - Demand'!G40</f>
        <v>1.0699729449745548</v>
      </c>
      <c r="D51" s="172">
        <f>+B51*C51</f>
        <v>211.76547869288061</v>
      </c>
      <c r="E51" s="175">
        <f>+B51/D51</f>
        <v>0.9346030707568791</v>
      </c>
      <c r="F51" s="176">
        <f>+D51-B51</f>
        <v>13.848812026213949</v>
      </c>
      <c r="G51" s="172">
        <v>0</v>
      </c>
    </row>
    <row r="52" spans="1:7" x14ac:dyDescent="0.3">
      <c r="A52" s="181" t="s">
        <v>221</v>
      </c>
      <c r="B52" s="178">
        <f>+B51</f>
        <v>197.91666666666666</v>
      </c>
      <c r="C52" s="179">
        <f>+D52/B52</f>
        <v>1.0699729449745548</v>
      </c>
      <c r="D52" s="178">
        <f>+D51</f>
        <v>211.76547869288061</v>
      </c>
      <c r="E52" s="179">
        <f>+B52/D52</f>
        <v>0.9346030707568791</v>
      </c>
      <c r="F52" s="180">
        <f>+F51</f>
        <v>13.848812026213949</v>
      </c>
      <c r="G52" s="179">
        <f>+$E$115/E52</f>
        <v>1.0032330277714028</v>
      </c>
    </row>
    <row r="53" spans="1:7" x14ac:dyDescent="0.3">
      <c r="F53" s="124"/>
    </row>
    <row r="54" spans="1:7" x14ac:dyDescent="0.3">
      <c r="A54" s="171" t="s">
        <v>222</v>
      </c>
      <c r="B54" s="172"/>
      <c r="C54" s="172"/>
      <c r="D54" s="172"/>
      <c r="E54" s="172"/>
      <c r="F54" s="176"/>
      <c r="G54" s="172"/>
    </row>
    <row r="55" spans="1:7" x14ac:dyDescent="0.3">
      <c r="A55" s="174" t="s">
        <v>76</v>
      </c>
      <c r="B55" s="172">
        <v>207.08622691696308</v>
      </c>
      <c r="C55" s="175">
        <f>+'Loss Expansion Factors - Demand'!G26</f>
        <v>1.036779223962337</v>
      </c>
      <c r="D55" s="172">
        <f t="shared" ref="D55:D56" si="12">+B55*C55</f>
        <v>214.70269763625743</v>
      </c>
      <c r="E55" s="175">
        <f t="shared" ref="E55:E56" si="13">+B55/D55</f>
        <v>0.96452550059618758</v>
      </c>
      <c r="F55" s="176">
        <f t="shared" ref="F55:F56" si="14">+D55-B55</f>
        <v>7.6164707192943411</v>
      </c>
      <c r="G55" s="172">
        <v>0</v>
      </c>
    </row>
    <row r="56" spans="1:7" x14ac:dyDescent="0.3">
      <c r="A56" s="174" t="s">
        <v>77</v>
      </c>
      <c r="B56" s="172">
        <v>616.8304397497036</v>
      </c>
      <c r="C56" s="175">
        <f>+'Loss Expansion Factors - Demand'!G40</f>
        <v>1.0699729449745548</v>
      </c>
      <c r="D56" s="172">
        <f t="shared" si="12"/>
        <v>659.99188216894004</v>
      </c>
      <c r="E56" s="175">
        <f t="shared" si="13"/>
        <v>0.93460307075687898</v>
      </c>
      <c r="F56" s="176">
        <f t="shared" si="14"/>
        <v>43.161442419236437</v>
      </c>
      <c r="G56" s="172">
        <v>0</v>
      </c>
    </row>
    <row r="57" spans="1:7" x14ac:dyDescent="0.3">
      <c r="A57" s="181" t="s">
        <v>223</v>
      </c>
      <c r="B57" s="178">
        <f>+B55+B56</f>
        <v>823.91666666666674</v>
      </c>
      <c r="C57" s="179">
        <f>+D57/B57</f>
        <v>1.0616299137920875</v>
      </c>
      <c r="D57" s="178">
        <f>+D55+D56</f>
        <v>874.69457980519746</v>
      </c>
      <c r="E57" s="179">
        <f>+B57/D57</f>
        <v>0.94194783606657373</v>
      </c>
      <c r="F57" s="180">
        <f>+F55+F56</f>
        <v>50.777913138530778</v>
      </c>
      <c r="G57" s="179">
        <f>+$E$115/E57</f>
        <v>0.99541039592515856</v>
      </c>
    </row>
    <row r="58" spans="1:7" x14ac:dyDescent="0.3">
      <c r="F58" s="124"/>
    </row>
    <row r="59" spans="1:7" s="156" customFormat="1" x14ac:dyDescent="0.3">
      <c r="A59" s="171" t="s">
        <v>224</v>
      </c>
      <c r="B59" s="172"/>
      <c r="C59" s="172"/>
      <c r="D59" s="172"/>
      <c r="E59" s="172"/>
      <c r="F59" s="176"/>
      <c r="G59" s="172"/>
    </row>
    <row r="60" spans="1:7" x14ac:dyDescent="0.3">
      <c r="A60" s="174" t="s">
        <v>77</v>
      </c>
      <c r="B60" s="172">
        <v>10451925.25</v>
      </c>
      <c r="C60" s="175">
        <f>+'Loss Expansion Factors - Demand'!G40</f>
        <v>1.0699729449745548</v>
      </c>
      <c r="D60" s="172">
        <f>+B60*C60</f>
        <v>11183277.24039641</v>
      </c>
      <c r="E60" s="175">
        <f>+B60/D60</f>
        <v>0.93460307075687898</v>
      </c>
      <c r="F60" s="176">
        <f>+D60-B60</f>
        <v>731351.99039641023</v>
      </c>
      <c r="G60" s="172">
        <v>0</v>
      </c>
    </row>
    <row r="61" spans="1:7" x14ac:dyDescent="0.3">
      <c r="A61" s="181" t="s">
        <v>225</v>
      </c>
      <c r="B61" s="178">
        <f>+B60</f>
        <v>10451925.25</v>
      </c>
      <c r="C61" s="179">
        <f>+D61/B61</f>
        <v>1.0699729449745548</v>
      </c>
      <c r="D61" s="178">
        <f>+D60</f>
        <v>11183277.24039641</v>
      </c>
      <c r="E61" s="179">
        <f>+B61/D61</f>
        <v>0.93460307075687898</v>
      </c>
      <c r="F61" s="180">
        <f>+F60</f>
        <v>731351.99039641023</v>
      </c>
      <c r="G61" s="179">
        <f>+$E$115/E61</f>
        <v>1.003233027771403</v>
      </c>
    </row>
    <row r="62" spans="1:7" x14ac:dyDescent="0.3">
      <c r="F62" s="124"/>
    </row>
    <row r="63" spans="1:7" x14ac:dyDescent="0.3">
      <c r="A63" s="171" t="s">
        <v>226</v>
      </c>
      <c r="B63" s="172"/>
      <c r="C63" s="172"/>
      <c r="D63" s="172"/>
      <c r="E63" s="172"/>
      <c r="F63" s="176"/>
      <c r="G63" s="172"/>
    </row>
    <row r="64" spans="1:7" x14ac:dyDescent="0.3">
      <c r="A64" s="174" t="s">
        <v>77</v>
      </c>
      <c r="B64" s="172">
        <v>961.58333333333337</v>
      </c>
      <c r="C64" s="175">
        <f>+'Loss Expansion Factors - Demand'!G40</f>
        <v>1.0699729449745548</v>
      </c>
      <c r="D64" s="172">
        <f>+B64*C64</f>
        <v>1028.8681510051156</v>
      </c>
      <c r="E64" s="175">
        <f>+B64/D64</f>
        <v>0.9346030707568791</v>
      </c>
      <c r="F64" s="176">
        <f>+D64-B64</f>
        <v>67.284817671782207</v>
      </c>
      <c r="G64" s="172">
        <v>0</v>
      </c>
    </row>
    <row r="65" spans="1:7" x14ac:dyDescent="0.3">
      <c r="A65" s="181" t="s">
        <v>227</v>
      </c>
      <c r="B65" s="178">
        <f>+B64</f>
        <v>961.58333333333337</v>
      </c>
      <c r="C65" s="179">
        <f>+D65/B65</f>
        <v>1.0699729449745548</v>
      </c>
      <c r="D65" s="178">
        <f>+D64</f>
        <v>1028.8681510051156</v>
      </c>
      <c r="E65" s="179">
        <f>+B65/D65</f>
        <v>0.9346030707568791</v>
      </c>
      <c r="F65" s="180">
        <f>+F64</f>
        <v>67.284817671782207</v>
      </c>
      <c r="G65" s="179">
        <f>+$E$115/E65</f>
        <v>1.0032330277714028</v>
      </c>
    </row>
    <row r="66" spans="1:7" x14ac:dyDescent="0.3">
      <c r="F66" s="124"/>
    </row>
    <row r="67" spans="1:7" x14ac:dyDescent="0.3">
      <c r="A67" s="171" t="s">
        <v>228</v>
      </c>
      <c r="B67" s="172"/>
      <c r="C67" s="172"/>
      <c r="D67" s="172"/>
      <c r="E67" s="172"/>
      <c r="F67" s="176"/>
      <c r="G67" s="172"/>
    </row>
    <row r="68" spans="1:7" x14ac:dyDescent="0.3">
      <c r="A68" s="174" t="s">
        <v>77</v>
      </c>
      <c r="B68" s="172">
        <v>3534.0833333333335</v>
      </c>
      <c r="C68" s="175">
        <f>+'Loss Expansion Factors - Demand'!G40</f>
        <v>1.0699729449745548</v>
      </c>
      <c r="D68" s="172">
        <f>+B68*C68</f>
        <v>3781.3735519521579</v>
      </c>
      <c r="E68" s="175">
        <f>+B68/D68</f>
        <v>0.93460307075687898</v>
      </c>
      <c r="F68" s="176">
        <f>+D68-B68</f>
        <v>247.29021861882438</v>
      </c>
      <c r="G68" s="172">
        <v>0</v>
      </c>
    </row>
    <row r="69" spans="1:7" x14ac:dyDescent="0.3">
      <c r="A69" s="181" t="s">
        <v>229</v>
      </c>
      <c r="B69" s="178">
        <f>+B68</f>
        <v>3534.0833333333335</v>
      </c>
      <c r="C69" s="179">
        <f>+D69/B69</f>
        <v>1.0699729449745548</v>
      </c>
      <c r="D69" s="178">
        <f>+D68</f>
        <v>3781.3735519521579</v>
      </c>
      <c r="E69" s="179">
        <f>+B69/D69</f>
        <v>0.93460307075687898</v>
      </c>
      <c r="F69" s="180">
        <f>+F68</f>
        <v>247.29021861882438</v>
      </c>
      <c r="G69" s="179">
        <f>+$E$115/E69</f>
        <v>1.003233027771403</v>
      </c>
    </row>
    <row r="70" spans="1:7" x14ac:dyDescent="0.3">
      <c r="F70" s="124"/>
    </row>
    <row r="71" spans="1:7" x14ac:dyDescent="0.3">
      <c r="A71" s="171" t="s">
        <v>230</v>
      </c>
      <c r="B71" s="172"/>
      <c r="C71" s="172"/>
      <c r="D71" s="172"/>
      <c r="E71" s="172"/>
      <c r="F71" s="176"/>
      <c r="G71" s="172"/>
    </row>
    <row r="72" spans="1:7" x14ac:dyDescent="0.3">
      <c r="A72" s="174" t="s">
        <v>76</v>
      </c>
      <c r="B72" s="172">
        <v>1949.0833333333333</v>
      </c>
      <c r="C72" s="175">
        <f>+'Loss Expansion Factors - Demand'!G26</f>
        <v>1.036779223962337</v>
      </c>
      <c r="D72" s="172">
        <f>+B72*C72</f>
        <v>2020.7691057712582</v>
      </c>
      <c r="E72" s="175">
        <f>+B72/D72</f>
        <v>0.96452550059618769</v>
      </c>
      <c r="F72" s="176">
        <f>+D72-B72</f>
        <v>71.685772437924925</v>
      </c>
      <c r="G72" s="172">
        <v>0</v>
      </c>
    </row>
    <row r="73" spans="1:7" x14ac:dyDescent="0.3">
      <c r="A73" s="181" t="s">
        <v>231</v>
      </c>
      <c r="B73" s="178">
        <f>+B72</f>
        <v>1949.0833333333333</v>
      </c>
      <c r="C73" s="179">
        <f>+D73/B73</f>
        <v>1.036779223962337</v>
      </c>
      <c r="D73" s="178">
        <f>+D72</f>
        <v>2020.7691057712582</v>
      </c>
      <c r="E73" s="179">
        <f>+B73/D73</f>
        <v>0.96452550059618769</v>
      </c>
      <c r="F73" s="180">
        <f>+F72</f>
        <v>71.685772437924925</v>
      </c>
      <c r="G73" s="179">
        <f>+$E$115/E73</f>
        <v>0.97210977611303651</v>
      </c>
    </row>
    <row r="74" spans="1:7" x14ac:dyDescent="0.3">
      <c r="F74" s="124"/>
    </row>
    <row r="75" spans="1:7" x14ac:dyDescent="0.3">
      <c r="A75" s="171" t="s">
        <v>232</v>
      </c>
      <c r="B75" s="172"/>
      <c r="C75" s="172"/>
      <c r="D75" s="172"/>
      <c r="E75" s="172"/>
      <c r="F75" s="176"/>
      <c r="G75" s="172"/>
    </row>
    <row r="76" spans="1:7" x14ac:dyDescent="0.3">
      <c r="A76" s="174" t="s">
        <v>75</v>
      </c>
      <c r="B76" s="172">
        <v>8121.916666666667</v>
      </c>
      <c r="C76" s="175">
        <f>+'Loss Expansion Factors - Demand'!G14</f>
        <v>1.0230839872669728</v>
      </c>
      <c r="D76" s="172">
        <f>+B76*C76</f>
        <v>8309.4028875834138</v>
      </c>
      <c r="E76" s="175">
        <f>+B76/D76</f>
        <v>0.9774368599701786</v>
      </c>
      <c r="F76" s="176">
        <f>+D76-B76</f>
        <v>187.48622091674679</v>
      </c>
      <c r="G76" s="172">
        <v>0</v>
      </c>
    </row>
    <row r="77" spans="1:7" x14ac:dyDescent="0.3">
      <c r="A77" s="181" t="s">
        <v>233</v>
      </c>
      <c r="B77" s="178">
        <f>+B76</f>
        <v>8121.916666666667</v>
      </c>
      <c r="C77" s="179">
        <f>+D77/B77</f>
        <v>1.0230839872669728</v>
      </c>
      <c r="D77" s="178">
        <f>+D76</f>
        <v>8309.4028875834138</v>
      </c>
      <c r="E77" s="179">
        <f>+B77/D77</f>
        <v>0.9774368599701786</v>
      </c>
      <c r="F77" s="180">
        <f>+F76</f>
        <v>187.48622091674679</v>
      </c>
      <c r="G77" s="179">
        <f>+$E$115/E77</f>
        <v>0.95926878434734009</v>
      </c>
    </row>
    <row r="78" spans="1:7" x14ac:dyDescent="0.3">
      <c r="F78" s="124"/>
    </row>
    <row r="79" spans="1:7" x14ac:dyDescent="0.3">
      <c r="B79" s="172"/>
      <c r="C79" s="172"/>
      <c r="D79" s="172"/>
      <c r="E79" s="172"/>
      <c r="F79" s="176"/>
      <c r="G79" s="172"/>
    </row>
    <row r="80" spans="1:7" ht="15" thickBot="1" x14ac:dyDescent="0.35">
      <c r="A80" s="182" t="s">
        <v>234</v>
      </c>
      <c r="B80" s="183">
        <f>+B8+B13+B17+B21+B25+B30+B35+B40+B44+B48+B52+B57+B61+B65+B69+B73+B77</f>
        <v>17821388.416666664</v>
      </c>
      <c r="C80" s="184">
        <f>+D80/B80</f>
        <v>1.0688673137168851</v>
      </c>
      <c r="D80" s="183">
        <f>+D8+D13+D17+D21+D25+D30+D35+D40+D44+D48+D52+D57+D61+D65+D69+D73+D77</f>
        <v>19048699.563627709</v>
      </c>
      <c r="E80" s="184">
        <f>+B80/D80</f>
        <v>0.93556981972120989</v>
      </c>
      <c r="F80" s="185">
        <f>+F8+F13+F17+F21+F25+F30+F35+F40+F44+F48+F52+F57+F61+F65+F69+F73+F77</f>
        <v>1227311.1469610434</v>
      </c>
      <c r="G80" s="184">
        <f>+E119/E80</f>
        <v>1.0021931292202697</v>
      </c>
    </row>
    <row r="81" spans="1:7" x14ac:dyDescent="0.3">
      <c r="A81" s="182"/>
      <c r="B81" s="186"/>
      <c r="C81" s="187"/>
      <c r="D81" s="186"/>
      <c r="E81" s="187"/>
      <c r="F81" s="188"/>
      <c r="G81" s="187"/>
    </row>
    <row r="82" spans="1:7" x14ac:dyDescent="0.3">
      <c r="F82" s="124"/>
    </row>
    <row r="83" spans="1:7" x14ac:dyDescent="0.3">
      <c r="A83" s="171" t="s">
        <v>248</v>
      </c>
      <c r="B83" s="172"/>
      <c r="C83" s="172"/>
      <c r="D83" s="172"/>
      <c r="E83" s="172"/>
      <c r="F83" s="176"/>
      <c r="G83" s="172"/>
    </row>
    <row r="84" spans="1:7" x14ac:dyDescent="0.3">
      <c r="A84" s="174" t="s">
        <v>75</v>
      </c>
      <c r="B84" s="172">
        <v>6117.083333333333</v>
      </c>
      <c r="C84" s="175">
        <f>+'Loss Expansion Factors - Demand'!G14</f>
        <v>1.0230839872669728</v>
      </c>
      <c r="D84" s="172">
        <f>+B84*C84</f>
        <v>6258.2900071110116</v>
      </c>
      <c r="E84" s="175">
        <f>+B84/D84</f>
        <v>0.97743685997017848</v>
      </c>
      <c r="F84" s="176">
        <f>+D84-B84</f>
        <v>141.20667377767859</v>
      </c>
      <c r="G84" s="172">
        <v>0</v>
      </c>
    </row>
    <row r="85" spans="1:7" x14ac:dyDescent="0.3">
      <c r="A85" s="181" t="s">
        <v>256</v>
      </c>
      <c r="B85" s="178">
        <v>6117.083333333333</v>
      </c>
      <c r="C85" s="179">
        <f>+D85/B85</f>
        <v>1.0230839872669728</v>
      </c>
      <c r="D85" s="178">
        <f>+D84</f>
        <v>6258.2900071110116</v>
      </c>
      <c r="E85" s="179">
        <f>+B85/D85</f>
        <v>0.97743685997017848</v>
      </c>
      <c r="F85" s="180">
        <f>+F84</f>
        <v>141.20667377767859</v>
      </c>
      <c r="G85" s="179">
        <v>0.95926878434734009</v>
      </c>
    </row>
    <row r="86" spans="1:7" x14ac:dyDescent="0.3">
      <c r="F86" s="124"/>
    </row>
    <row r="87" spans="1:7" x14ac:dyDescent="0.3">
      <c r="A87" s="171" t="s">
        <v>249</v>
      </c>
      <c r="B87" s="172"/>
      <c r="C87" s="172"/>
      <c r="D87" s="172"/>
      <c r="E87" s="172"/>
      <c r="F87" s="176"/>
      <c r="G87" s="172"/>
    </row>
    <row r="88" spans="1:7" x14ac:dyDescent="0.3">
      <c r="A88" s="174" t="s">
        <v>75</v>
      </c>
      <c r="B88" s="172">
        <v>124660.41666666667</v>
      </c>
      <c r="C88" s="175">
        <f>+'Loss Expansion Factors - Demand'!G14</f>
        <v>1.0230839872669728</v>
      </c>
      <c r="D88" s="172">
        <f>+B88*C88</f>
        <v>127538.07613769553</v>
      </c>
      <c r="E88" s="175">
        <f>+B88/D88</f>
        <v>0.97743685997017848</v>
      </c>
      <c r="F88" s="176">
        <f>+D88-B88</f>
        <v>2877.6594710288628</v>
      </c>
      <c r="G88" s="172">
        <v>0</v>
      </c>
    </row>
    <row r="89" spans="1:7" x14ac:dyDescent="0.3">
      <c r="A89" s="181" t="s">
        <v>257</v>
      </c>
      <c r="B89" s="178">
        <v>124660.41666666667</v>
      </c>
      <c r="C89" s="179">
        <f>+D89/B89</f>
        <v>1.0230839872669728</v>
      </c>
      <c r="D89" s="178">
        <f>+D88</f>
        <v>127538.07613769553</v>
      </c>
      <c r="E89" s="179">
        <f>+B89/D89</f>
        <v>0.97743685997017848</v>
      </c>
      <c r="F89" s="180">
        <f>+F88</f>
        <v>2877.6594710288628</v>
      </c>
      <c r="G89" s="179">
        <v>0.95926878434734009</v>
      </c>
    </row>
    <row r="90" spans="1:7" x14ac:dyDescent="0.3">
      <c r="F90" s="124"/>
    </row>
    <row r="91" spans="1:7" x14ac:dyDescent="0.3">
      <c r="A91" s="171" t="s">
        <v>250</v>
      </c>
      <c r="B91" s="172"/>
      <c r="C91" s="172"/>
      <c r="D91" s="172"/>
      <c r="E91" s="172"/>
      <c r="F91" s="176"/>
      <c r="G91" s="172"/>
    </row>
    <row r="92" spans="1:7" x14ac:dyDescent="0.3">
      <c r="A92" s="174" t="s">
        <v>75</v>
      </c>
      <c r="B92" s="172">
        <v>83333.333333333328</v>
      </c>
      <c r="C92" s="175">
        <f>+'Loss Expansion Factors - Demand'!G14</f>
        <v>1.0230839872669728</v>
      </c>
      <c r="D92" s="172">
        <f>+B92*C92</f>
        <v>85256.998938914388</v>
      </c>
      <c r="E92" s="175">
        <f>+B92/D92</f>
        <v>0.9774368599701786</v>
      </c>
      <c r="F92" s="176">
        <f>+D92-B92</f>
        <v>1923.6656055810599</v>
      </c>
      <c r="G92" s="172">
        <v>0</v>
      </c>
    </row>
    <row r="93" spans="1:7" x14ac:dyDescent="0.3">
      <c r="A93" s="181" t="s">
        <v>258</v>
      </c>
      <c r="B93" s="178">
        <v>83333.333333333328</v>
      </c>
      <c r="C93" s="179">
        <f>+D93/B93</f>
        <v>1.0230839872669728</v>
      </c>
      <c r="D93" s="178">
        <f>+D92</f>
        <v>85256.998938914388</v>
      </c>
      <c r="E93" s="179">
        <f>+B93/D93</f>
        <v>0.9774368599701786</v>
      </c>
      <c r="F93" s="180">
        <f>+F92</f>
        <v>1923.6656055810599</v>
      </c>
      <c r="G93" s="179">
        <v>0.95926878434734009</v>
      </c>
    </row>
    <row r="94" spans="1:7" x14ac:dyDescent="0.3">
      <c r="F94" s="124"/>
    </row>
    <row r="95" spans="1:7" x14ac:dyDescent="0.3">
      <c r="A95" s="171" t="s">
        <v>251</v>
      </c>
      <c r="B95" s="172"/>
      <c r="C95" s="172"/>
      <c r="D95" s="172"/>
      <c r="E95" s="172"/>
      <c r="F95" s="176"/>
      <c r="G95" s="172"/>
    </row>
    <row r="96" spans="1:7" x14ac:dyDescent="0.3">
      <c r="A96" s="174" t="s">
        <v>75</v>
      </c>
      <c r="B96" s="172">
        <v>690895</v>
      </c>
      <c r="C96" s="175">
        <f>+'Loss Expansion Factors - Demand'!G14</f>
        <v>1.0230839872669728</v>
      </c>
      <c r="D96" s="172">
        <f>+B96*C96</f>
        <v>706843.61138281517</v>
      </c>
      <c r="E96" s="175">
        <f>+B96/D96</f>
        <v>0.97743685997017848</v>
      </c>
      <c r="F96" s="176">
        <f>+D96-B96</f>
        <v>15948.611382815172</v>
      </c>
      <c r="G96" s="172">
        <v>0</v>
      </c>
    </row>
    <row r="97" spans="1:7" x14ac:dyDescent="0.3">
      <c r="A97" s="181" t="s">
        <v>259</v>
      </c>
      <c r="B97" s="178">
        <v>690895</v>
      </c>
      <c r="C97" s="179">
        <f>+D97/B97</f>
        <v>1.0230839872669728</v>
      </c>
      <c r="D97" s="178">
        <f>+D96</f>
        <v>706843.61138281517</v>
      </c>
      <c r="E97" s="179">
        <f>+B97/D97</f>
        <v>0.97743685997017848</v>
      </c>
      <c r="F97" s="180">
        <f>+F96</f>
        <v>15948.611382815172</v>
      </c>
      <c r="G97" s="179">
        <v>0.95926878434734009</v>
      </c>
    </row>
    <row r="98" spans="1:7" x14ac:dyDescent="0.3">
      <c r="F98" s="124"/>
    </row>
    <row r="99" spans="1:7" x14ac:dyDescent="0.3">
      <c r="A99" s="171" t="s">
        <v>252</v>
      </c>
      <c r="B99" s="172"/>
      <c r="C99" s="172"/>
      <c r="D99" s="172"/>
      <c r="E99" s="172"/>
      <c r="F99" s="176"/>
      <c r="G99" s="172"/>
    </row>
    <row r="100" spans="1:7" x14ac:dyDescent="0.3">
      <c r="A100" s="174" t="s">
        <v>75</v>
      </c>
      <c r="B100" s="172">
        <v>11315.166666666666</v>
      </c>
      <c r="C100" s="175">
        <f>+'Loss Expansion Factors - Demand'!G14</f>
        <v>1.0230839872669728</v>
      </c>
      <c r="D100" s="172">
        <f>+B100*C100</f>
        <v>11576.365829923674</v>
      </c>
      <c r="E100" s="175">
        <f>+B100/D100</f>
        <v>0.9774368599701786</v>
      </c>
      <c r="F100" s="176">
        <f>+D100-B100</f>
        <v>261.19916325700797</v>
      </c>
      <c r="G100" s="172">
        <v>0</v>
      </c>
    </row>
    <row r="101" spans="1:7" x14ac:dyDescent="0.3">
      <c r="A101" s="181" t="s">
        <v>260</v>
      </c>
      <c r="B101" s="178">
        <v>11315.166666666666</v>
      </c>
      <c r="C101" s="179">
        <f>+D101/B101</f>
        <v>1.0230839872669728</v>
      </c>
      <c r="D101" s="178">
        <f>+D100</f>
        <v>11576.365829923674</v>
      </c>
      <c r="E101" s="179">
        <f>+B101/D101</f>
        <v>0.9774368599701786</v>
      </c>
      <c r="F101" s="180">
        <f>+F100</f>
        <v>261.19916325700797</v>
      </c>
      <c r="G101" s="179">
        <v>0.95926878434734009</v>
      </c>
    </row>
    <row r="102" spans="1:7" x14ac:dyDescent="0.3">
      <c r="F102" s="124"/>
    </row>
    <row r="103" spans="1:7" x14ac:dyDescent="0.3">
      <c r="A103" s="171" t="s">
        <v>253</v>
      </c>
      <c r="B103" s="172"/>
      <c r="C103" s="172"/>
      <c r="D103" s="172"/>
      <c r="E103" s="172"/>
      <c r="F103" s="176"/>
      <c r="G103" s="172"/>
    </row>
    <row r="104" spans="1:7" x14ac:dyDescent="0.3">
      <c r="A104" s="174" t="s">
        <v>75</v>
      </c>
      <c r="B104" s="172">
        <v>23000</v>
      </c>
      <c r="C104" s="175">
        <f>+'Loss Expansion Factors - Demand'!G14</f>
        <v>1.0230839872669728</v>
      </c>
      <c r="D104" s="172">
        <f>+B104*C104</f>
        <v>23530.931707140375</v>
      </c>
      <c r="E104" s="175">
        <f>+B104/D104</f>
        <v>0.97743685997017848</v>
      </c>
      <c r="F104" s="176">
        <f>+D104-B104</f>
        <v>530.93170714037478</v>
      </c>
      <c r="G104" s="172">
        <v>0</v>
      </c>
    </row>
    <row r="105" spans="1:7" x14ac:dyDescent="0.3">
      <c r="A105" s="181" t="s">
        <v>261</v>
      </c>
      <c r="B105" s="178">
        <v>23000</v>
      </c>
      <c r="C105" s="179">
        <f>+D105/B105</f>
        <v>1.0230839872669728</v>
      </c>
      <c r="D105" s="178">
        <f>+D104</f>
        <v>23530.931707140375</v>
      </c>
      <c r="E105" s="179">
        <f>+B105/D105</f>
        <v>0.97743685997017848</v>
      </c>
      <c r="F105" s="180">
        <f>+F104</f>
        <v>530.93170714037478</v>
      </c>
      <c r="G105" s="179">
        <v>0.95926878434734009</v>
      </c>
    </row>
    <row r="106" spans="1:7" x14ac:dyDescent="0.3">
      <c r="F106" s="124"/>
    </row>
    <row r="107" spans="1:7" x14ac:dyDescent="0.3">
      <c r="A107" s="171" t="s">
        <v>254</v>
      </c>
      <c r="B107" s="172"/>
      <c r="C107" s="172"/>
      <c r="D107" s="172"/>
      <c r="E107" s="172"/>
      <c r="F107" s="176"/>
      <c r="G107" s="172"/>
    </row>
    <row r="108" spans="1:7" x14ac:dyDescent="0.3">
      <c r="A108" s="174" t="s">
        <v>75</v>
      </c>
      <c r="B108" s="172">
        <v>21666.666666666668</v>
      </c>
      <c r="C108" s="175">
        <f>+'Loss Expansion Factors - Demand'!G14</f>
        <v>1.0230839872669728</v>
      </c>
      <c r="D108" s="172">
        <f>+B108*C108</f>
        <v>22166.819724117744</v>
      </c>
      <c r="E108" s="175">
        <f>+B108/D108</f>
        <v>0.9774368599701786</v>
      </c>
      <c r="F108" s="176">
        <f>+D108-B108</f>
        <v>500.15305745107617</v>
      </c>
      <c r="G108" s="172">
        <v>0</v>
      </c>
    </row>
    <row r="109" spans="1:7" x14ac:dyDescent="0.3">
      <c r="A109" s="181" t="s">
        <v>262</v>
      </c>
      <c r="B109" s="178">
        <v>21666.666666666668</v>
      </c>
      <c r="C109" s="179">
        <f>+D109/B109</f>
        <v>1.0230839872669728</v>
      </c>
      <c r="D109" s="178">
        <f>+D108</f>
        <v>22166.819724117744</v>
      </c>
      <c r="E109" s="179">
        <f>+B109/D109</f>
        <v>0.9774368599701786</v>
      </c>
      <c r="F109" s="180">
        <f>+F108</f>
        <v>500.15305745107617</v>
      </c>
      <c r="G109" s="179">
        <v>0.95926878434734009</v>
      </c>
    </row>
    <row r="110" spans="1:7" x14ac:dyDescent="0.3">
      <c r="F110" s="124"/>
    </row>
    <row r="111" spans="1:7" x14ac:dyDescent="0.3">
      <c r="B111" s="172"/>
      <c r="C111" s="172"/>
      <c r="D111" s="172"/>
      <c r="E111" s="172"/>
      <c r="F111" s="176"/>
      <c r="G111" s="172"/>
    </row>
    <row r="112" spans="1:7" ht="15" thickBot="1" x14ac:dyDescent="0.35">
      <c r="A112" s="182" t="s">
        <v>241</v>
      </c>
      <c r="B112" s="183">
        <f>+B85+B89+B93+B97+B101+B105+B109</f>
        <v>960987.66666666651</v>
      </c>
      <c r="C112" s="184">
        <f>+D112/B112</f>
        <v>1.023083987266973</v>
      </c>
      <c r="D112" s="183">
        <f>+D85+D89+D93+D97+D101+D105+D109</f>
        <v>983171.09372771787</v>
      </c>
      <c r="E112" s="184">
        <f>+B112/D112</f>
        <v>0.97743685997017837</v>
      </c>
      <c r="F112" s="185">
        <f>+F85+F89+F93+F97+F101+F105+F109</f>
        <v>22183.427061051229</v>
      </c>
      <c r="G112" s="184">
        <f>+E119/E112</f>
        <v>0.95926569135018069</v>
      </c>
    </row>
    <row r="113" spans="1:7" x14ac:dyDescent="0.3">
      <c r="F113" s="124"/>
    </row>
    <row r="114" spans="1:7" x14ac:dyDescent="0.3">
      <c r="B114" s="172"/>
      <c r="C114" s="172"/>
      <c r="D114" s="172"/>
      <c r="E114" s="172"/>
      <c r="F114" s="176"/>
      <c r="G114" s="172"/>
    </row>
    <row r="115" spans="1:7" ht="15" thickBot="1" x14ac:dyDescent="0.35">
      <c r="A115" s="182" t="s">
        <v>242</v>
      </c>
      <c r="B115" s="189">
        <f>+B80+B112</f>
        <v>18782376.083333332</v>
      </c>
      <c r="C115" s="190">
        <f>+D115/B115</f>
        <v>1.066524840546178</v>
      </c>
      <c r="D115" s="189">
        <f>+D80+D112</f>
        <v>20031870.657355428</v>
      </c>
      <c r="E115" s="190">
        <f>+B115/D115</f>
        <v>0.93762466843987446</v>
      </c>
      <c r="F115" s="191">
        <f>+F80+F112</f>
        <v>1249494.5740220945</v>
      </c>
      <c r="G115" s="190">
        <f>+E119/E115</f>
        <v>0.99999677567204304</v>
      </c>
    </row>
    <row r="116" spans="1:7" x14ac:dyDescent="0.3">
      <c r="A116" s="182"/>
      <c r="B116" s="186"/>
      <c r="C116" s="187"/>
      <c r="D116" s="186"/>
      <c r="E116" s="187"/>
      <c r="F116" s="188"/>
      <c r="G116" s="187"/>
    </row>
    <row r="117" spans="1:7" x14ac:dyDescent="0.3">
      <c r="A117" s="192" t="s">
        <v>244</v>
      </c>
      <c r="B117" s="193">
        <v>18750.594835533484</v>
      </c>
      <c r="C117" s="194">
        <f>+'Loss Expansion Factors - Demand'!G40</f>
        <v>1.0699729449745548</v>
      </c>
      <c r="D117" s="193">
        <f>+B117*C117</f>
        <v>20062.62917620044</v>
      </c>
      <c r="E117" s="194">
        <f>+B117/D117</f>
        <v>0.93460307075687898</v>
      </c>
      <c r="F117" s="176">
        <f>+D117-B117</f>
        <v>1312.0343406669563</v>
      </c>
      <c r="G117" s="194"/>
    </row>
    <row r="118" spans="1:7" x14ac:dyDescent="0.3">
      <c r="B118" s="172"/>
      <c r="C118" s="172"/>
      <c r="D118" s="172"/>
      <c r="E118" s="172"/>
      <c r="F118" s="176"/>
      <c r="G118" s="172"/>
    </row>
    <row r="119" spans="1:7" ht="15" thickBot="1" x14ac:dyDescent="0.35">
      <c r="A119" s="182" t="s">
        <v>243</v>
      </c>
      <c r="B119" s="195">
        <f>+B115+B117</f>
        <v>18801126.678168867</v>
      </c>
      <c r="C119" s="196">
        <f>+D119/B119</f>
        <v>1.0665282793831259</v>
      </c>
      <c r="D119" s="195">
        <f>+D115+D117</f>
        <v>20051933.286531627</v>
      </c>
      <c r="E119" s="196">
        <f>+B119/D119</f>
        <v>0.93762164523044289</v>
      </c>
      <c r="F119" s="197">
        <f>+F115+F117</f>
        <v>1250806.6083627613</v>
      </c>
      <c r="G119" s="196">
        <v>1</v>
      </c>
    </row>
    <row r="120" spans="1:7" ht="15" thickTop="1" x14ac:dyDescent="0.3"/>
    <row r="122" spans="1:7" x14ac:dyDescent="0.3">
      <c r="A122" s="71"/>
    </row>
    <row r="123" spans="1:7" x14ac:dyDescent="0.3">
      <c r="A123" s="71"/>
    </row>
    <row r="124" spans="1:7" x14ac:dyDescent="0.3">
      <c r="A124" s="71"/>
    </row>
    <row r="125" spans="1:7" x14ac:dyDescent="0.3">
      <c r="A125" s="71"/>
    </row>
    <row r="126" spans="1:7" x14ac:dyDescent="0.3">
      <c r="A126" s="71"/>
    </row>
    <row r="127" spans="1:7" x14ac:dyDescent="0.3">
      <c r="A127" s="71"/>
    </row>
    <row r="128" spans="1:7" x14ac:dyDescent="0.3">
      <c r="A128" s="71"/>
    </row>
    <row r="129" spans="1:1" x14ac:dyDescent="0.3">
      <c r="A129" s="71"/>
    </row>
    <row r="130" spans="1:1" x14ac:dyDescent="0.3">
      <c r="A130" s="71"/>
    </row>
    <row r="131" spans="1:1" x14ac:dyDescent="0.3">
      <c r="A131" s="71"/>
    </row>
    <row r="132" spans="1:1" x14ac:dyDescent="0.3">
      <c r="A132" s="71"/>
    </row>
    <row r="133" spans="1:1" x14ac:dyDescent="0.3">
      <c r="A133" s="71"/>
    </row>
    <row r="134" spans="1:1" x14ac:dyDescent="0.3">
      <c r="A134" s="71"/>
    </row>
    <row r="135" spans="1:1" x14ac:dyDescent="0.3">
      <c r="A135" s="71"/>
    </row>
    <row r="136" spans="1:1" x14ac:dyDescent="0.3">
      <c r="A136" s="71"/>
    </row>
    <row r="137" spans="1:1" x14ac:dyDescent="0.3">
      <c r="A137" s="71"/>
    </row>
    <row r="138" spans="1:1" x14ac:dyDescent="0.3">
      <c r="A138" s="71"/>
    </row>
    <row r="139" spans="1:1" x14ac:dyDescent="0.3">
      <c r="A139" s="71"/>
    </row>
    <row r="140" spans="1:1" x14ac:dyDescent="0.3">
      <c r="A140" s="71"/>
    </row>
    <row r="141" spans="1:1" x14ac:dyDescent="0.3">
      <c r="A141" s="71"/>
    </row>
    <row r="142" spans="1:1" x14ac:dyDescent="0.3">
      <c r="A142" s="71"/>
    </row>
    <row r="143" spans="1:1" x14ac:dyDescent="0.3">
      <c r="A143" s="71"/>
    </row>
    <row r="144" spans="1:1" x14ac:dyDescent="0.3">
      <c r="A144" s="71"/>
    </row>
    <row r="145" spans="1:1" x14ac:dyDescent="0.3">
      <c r="A145" s="71"/>
    </row>
    <row r="146" spans="1:1" x14ac:dyDescent="0.3">
      <c r="A146" s="71"/>
    </row>
    <row r="147" spans="1:1" x14ac:dyDescent="0.3">
      <c r="A147" s="71"/>
    </row>
    <row r="148" spans="1:1" x14ac:dyDescent="0.3">
      <c r="A148" s="71"/>
    </row>
    <row r="149" spans="1:1" x14ac:dyDescent="0.3">
      <c r="A149" s="71"/>
    </row>
    <row r="150" spans="1:1" x14ac:dyDescent="0.3">
      <c r="A150" s="71"/>
    </row>
    <row r="151" spans="1:1" x14ac:dyDescent="0.3">
      <c r="A151" s="71"/>
    </row>
    <row r="152" spans="1:1" x14ac:dyDescent="0.3">
      <c r="A152" s="71"/>
    </row>
    <row r="153" spans="1:1" x14ac:dyDescent="0.3">
      <c r="A153" s="71"/>
    </row>
    <row r="154" spans="1:1" x14ac:dyDescent="0.3">
      <c r="A154" s="71"/>
    </row>
    <row r="155" spans="1:1" x14ac:dyDescent="0.3">
      <c r="A155" s="71"/>
    </row>
    <row r="156" spans="1:1" x14ac:dyDescent="0.3">
      <c r="A156" s="71"/>
    </row>
    <row r="157" spans="1:1" x14ac:dyDescent="0.3">
      <c r="A157" s="71"/>
    </row>
    <row r="158" spans="1:1" x14ac:dyDescent="0.3">
      <c r="A158" s="71"/>
    </row>
    <row r="159" spans="1:1" x14ac:dyDescent="0.3">
      <c r="A159" s="71"/>
    </row>
    <row r="160" spans="1:1" x14ac:dyDescent="0.3">
      <c r="A160" s="71"/>
    </row>
    <row r="161" spans="1:7" x14ac:dyDescent="0.3">
      <c r="A161" s="71"/>
    </row>
    <row r="162" spans="1:7" x14ac:dyDescent="0.3">
      <c r="A162" s="71"/>
    </row>
    <row r="163" spans="1:7" x14ac:dyDescent="0.3">
      <c r="A163" s="71"/>
    </row>
    <row r="164" spans="1:7" x14ac:dyDescent="0.3">
      <c r="A164" s="71"/>
    </row>
    <row r="165" spans="1:7" x14ac:dyDescent="0.3">
      <c r="A165" s="71"/>
    </row>
    <row r="166" spans="1:7" x14ac:dyDescent="0.3">
      <c r="A166" s="71"/>
    </row>
    <row r="167" spans="1:7" x14ac:dyDescent="0.3">
      <c r="A167" s="71"/>
    </row>
    <row r="168" spans="1:7" ht="15" thickBot="1" x14ac:dyDescent="0.35">
      <c r="A168" s="1"/>
      <c r="B168" s="1"/>
      <c r="C168" s="1"/>
      <c r="D168" s="1"/>
      <c r="E168" s="1"/>
      <c r="F168" s="1"/>
      <c r="G168" s="1"/>
    </row>
  </sheetData>
  <printOptions horizontalCentered="1"/>
  <pageMargins left="0.75" right="0.5" top="1.25" bottom="0.5" header="0.5" footer="0.1"/>
  <pageSetup scale="75" orientation="portrait" r:id="rId1"/>
  <headerFooter>
    <oddHeader>&amp;C&amp;"Arial,Bold"&amp;10LINE LOSS STUDY - 2014 ACTUALS
Florida Power and Light Company&amp;"Arial,Regular"
&amp;"Arial,Bold"12CP Demand Losses by Rate Class&amp;"Arial,Regular"
&amp;"Arial,Bold"December 2014</oddHeader>
    <oddFooter>&amp;C&amp;10&amp;"Arial,"&amp;P of &amp;N</oddFooter>
  </headerFooter>
  <rowBreaks count="2" manualBreakCount="2">
    <brk id="58" max="16383" man="1"/>
    <brk id="111" max="16383" man="1"/>
  </rowBreaks>
  <ignoredErrors>
    <ignoredError sqref="C8 C13 C17 C21 C25 C40 C44 C48 C52 C57 C61 C65 C69 C73 C77 C30 C35 C112 C115 C119 E8 E13 E17 E21 E25 E30 E35 E40 E44 E48 E52 E57 E61 E65 E69 E73 E77 E80 C80 E85 E89 E93 E97 E101 E105 E109 E112 E115 E11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G111"/>
  <sheetViews>
    <sheetView showGridLines="0" showZeros="0" workbookViewId="0">
      <pane xSplit="1" ySplit="4" topLeftCell="B5" activePane="bottomRight" state="frozen"/>
      <selection sqref="A1:XFD668"/>
      <selection pane="topRight" sqref="A1:XFD668"/>
      <selection pane="bottomLeft" sqref="A1:XFD668"/>
      <selection pane="bottomRight" activeCell="A2" sqref="A1:A2"/>
    </sheetView>
  </sheetViews>
  <sheetFormatPr defaultRowHeight="14.4" x14ac:dyDescent="0.3"/>
  <cols>
    <col min="1" max="1" width="32.6640625" customWidth="1"/>
    <col min="2" max="2" width="14.6640625" customWidth="1"/>
    <col min="3" max="3" width="13.6640625" customWidth="1"/>
    <col min="4" max="4" width="16.6640625" customWidth="1"/>
    <col min="5" max="7" width="13.6640625" customWidth="1"/>
  </cols>
  <sheetData>
    <row r="1" spans="1:7" x14ac:dyDescent="0.3">
      <c r="A1" s="235" t="s">
        <v>285</v>
      </c>
    </row>
    <row r="2" spans="1:7" x14ac:dyDescent="0.3">
      <c r="A2" s="235" t="s">
        <v>277</v>
      </c>
    </row>
    <row r="3" spans="1:7" ht="15" thickBot="1" x14ac:dyDescent="0.35"/>
    <row r="4" spans="1:7" ht="39.75" customHeight="1" thickBot="1" x14ac:dyDescent="0.35">
      <c r="A4" s="94" t="s">
        <v>194</v>
      </c>
      <c r="B4" s="94" t="s">
        <v>274</v>
      </c>
      <c r="C4" s="94" t="s">
        <v>122</v>
      </c>
      <c r="D4" s="94" t="s">
        <v>264</v>
      </c>
      <c r="E4" s="94" t="s">
        <v>197</v>
      </c>
      <c r="F4" s="94" t="s">
        <v>198</v>
      </c>
      <c r="G4" s="94" t="s">
        <v>273</v>
      </c>
    </row>
    <row r="5" spans="1:7" x14ac:dyDescent="0.3">
      <c r="A5" s="209" t="s">
        <v>200</v>
      </c>
      <c r="B5" s="13"/>
      <c r="C5" s="13"/>
      <c r="D5" s="13"/>
      <c r="E5" s="13"/>
      <c r="F5" s="217"/>
      <c r="G5" s="13"/>
    </row>
    <row r="6" spans="1:7" x14ac:dyDescent="0.3">
      <c r="A6" s="16" t="s">
        <v>76</v>
      </c>
      <c r="B6" s="13">
        <v>151916.49472155602</v>
      </c>
      <c r="C6" s="205">
        <f>+'Dist GNCP - for ECRC'!G26</f>
        <v>1.0428721372396681</v>
      </c>
      <c r="D6" s="13">
        <f>+B6*C6</f>
        <v>158429.47953222788</v>
      </c>
      <c r="E6" s="205">
        <f>+B6/D6</f>
        <v>0.95889032249615525</v>
      </c>
      <c r="F6" s="218">
        <f>+D6-B6</f>
        <v>6512.9848106718564</v>
      </c>
      <c r="G6" s="205">
        <v>0</v>
      </c>
    </row>
    <row r="7" spans="1:7" x14ac:dyDescent="0.3">
      <c r="A7" s="16" t="s">
        <v>77</v>
      </c>
      <c r="B7" s="13">
        <v>235511.50527844398</v>
      </c>
      <c r="C7" s="205">
        <f>+'Dist GNCP - for ECRC'!G40</f>
        <v>1.0824300245152902</v>
      </c>
      <c r="D7" s="13">
        <f>+B7*C7</f>
        <v>254924.72443217903</v>
      </c>
      <c r="E7" s="205">
        <f t="shared" ref="E7:E8" si="0">+B7/D7</f>
        <v>0.92384724864574752</v>
      </c>
      <c r="F7" s="218">
        <f>+D7-B7</f>
        <v>19413.219153735059</v>
      </c>
      <c r="G7" s="205">
        <v>0</v>
      </c>
    </row>
    <row r="8" spans="1:7" x14ac:dyDescent="0.3">
      <c r="A8" s="206" t="s">
        <v>201</v>
      </c>
      <c r="B8" s="215">
        <f>+B6+B7</f>
        <v>387428</v>
      </c>
      <c r="C8" s="216">
        <f>+D8/B8</f>
        <v>1.0669187667499689</v>
      </c>
      <c r="D8" s="215">
        <f>+D6+D7</f>
        <v>413354.20396440692</v>
      </c>
      <c r="E8" s="216">
        <f t="shared" si="0"/>
        <v>0.93727848001604119</v>
      </c>
      <c r="F8" s="219">
        <f>+F6+F7</f>
        <v>25926.203964406915</v>
      </c>
      <c r="G8" s="216">
        <f>+$E$70/E8</f>
        <v>0.98628560441544288</v>
      </c>
    </row>
    <row r="9" spans="1:7" x14ac:dyDescent="0.3">
      <c r="F9" s="124"/>
    </row>
    <row r="10" spans="1:7" x14ac:dyDescent="0.3">
      <c r="A10" s="209" t="s">
        <v>202</v>
      </c>
      <c r="B10" s="13"/>
      <c r="C10" s="13"/>
      <c r="D10" s="13"/>
      <c r="E10" s="13"/>
      <c r="F10" s="218"/>
      <c r="G10" s="13"/>
    </row>
    <row r="11" spans="1:7" x14ac:dyDescent="0.3">
      <c r="A11" s="16" t="s">
        <v>76</v>
      </c>
      <c r="B11" s="13">
        <v>378.41711075829664</v>
      </c>
      <c r="C11" s="205">
        <f>+'Dist GNCP - for ECRC'!G26</f>
        <v>1.0428721372396681</v>
      </c>
      <c r="D11" s="13">
        <f t="shared" ref="D11:D12" si="1">+B11*C11</f>
        <v>394.64066106456499</v>
      </c>
      <c r="E11" s="205">
        <f t="shared" ref="E11:E13" si="2">+B11/D11</f>
        <v>0.95889032249615525</v>
      </c>
      <c r="F11" s="218">
        <f>+D11-B11</f>
        <v>16.223550306268351</v>
      </c>
      <c r="G11" s="205">
        <v>0</v>
      </c>
    </row>
    <row r="12" spans="1:7" x14ac:dyDescent="0.3">
      <c r="A12" s="16" t="s">
        <v>77</v>
      </c>
      <c r="B12" s="13">
        <v>26128.582889241701</v>
      </c>
      <c r="C12" s="205">
        <f>+'Dist GNCP - for ECRC'!G40</f>
        <v>1.0824300245152902</v>
      </c>
      <c r="D12" s="13">
        <f t="shared" si="1"/>
        <v>28282.36261735169</v>
      </c>
      <c r="E12" s="205">
        <f t="shared" si="2"/>
        <v>0.92384724864574752</v>
      </c>
      <c r="F12" s="218">
        <f>+D12-B12</f>
        <v>2153.7797281099884</v>
      </c>
      <c r="G12" s="205">
        <v>0</v>
      </c>
    </row>
    <row r="13" spans="1:7" x14ac:dyDescent="0.3">
      <c r="A13" s="206" t="s">
        <v>203</v>
      </c>
      <c r="B13" s="215">
        <f>+B11+B12</f>
        <v>26506.999999999996</v>
      </c>
      <c r="C13" s="216">
        <f>+D13/B13</f>
        <v>1.0818652913727038</v>
      </c>
      <c r="D13" s="215">
        <f>+D11+D12</f>
        <v>28677.003278416254</v>
      </c>
      <c r="E13" s="216">
        <f t="shared" si="2"/>
        <v>0.92432949644883189</v>
      </c>
      <c r="F13" s="219">
        <f>+F11+F12</f>
        <v>2170.0032784162568</v>
      </c>
      <c r="G13" s="216">
        <f>+$E$70/E13</f>
        <v>1.0001025345612586</v>
      </c>
    </row>
    <row r="14" spans="1:7" x14ac:dyDescent="0.3">
      <c r="F14" s="124"/>
    </row>
    <row r="15" spans="1:7" x14ac:dyDescent="0.3">
      <c r="A15" s="209" t="s">
        <v>206</v>
      </c>
      <c r="B15" s="13"/>
      <c r="C15" s="13"/>
      <c r="D15" s="13"/>
      <c r="E15" s="13"/>
      <c r="F15" s="218"/>
      <c r="G15" s="13"/>
    </row>
    <row r="16" spans="1:7" x14ac:dyDescent="0.3">
      <c r="A16" s="16" t="s">
        <v>77</v>
      </c>
      <c r="B16" s="13">
        <v>1605649</v>
      </c>
      <c r="C16" s="205">
        <f>+'Dist GNCP - for ECRC'!G40</f>
        <v>1.0824300245152902</v>
      </c>
      <c r="D16" s="13">
        <f>+B16*C16</f>
        <v>1738002.6864329514</v>
      </c>
      <c r="E16" s="205">
        <f t="shared" ref="E16:E17" si="3">+B16/D16</f>
        <v>0.92384724864574752</v>
      </c>
      <c r="F16" s="218">
        <f>+D16-B16</f>
        <v>132353.68643295136</v>
      </c>
      <c r="G16" s="205">
        <v>0</v>
      </c>
    </row>
    <row r="17" spans="1:7" x14ac:dyDescent="0.3">
      <c r="A17" s="206" t="s">
        <v>207</v>
      </c>
      <c r="B17" s="215">
        <f>+B16</f>
        <v>1605649</v>
      </c>
      <c r="C17" s="216">
        <f>+D17/B17</f>
        <v>1.0824300245152902</v>
      </c>
      <c r="D17" s="215">
        <f>+D16</f>
        <v>1738002.6864329514</v>
      </c>
      <c r="E17" s="216">
        <f t="shared" si="3"/>
        <v>0.92384724864574752</v>
      </c>
      <c r="F17" s="219">
        <f>+F16</f>
        <v>132353.68643295136</v>
      </c>
      <c r="G17" s="216">
        <f>+$E$70/E17</f>
        <v>1.0006245875855637</v>
      </c>
    </row>
    <row r="18" spans="1:7" x14ac:dyDescent="0.3">
      <c r="F18" s="124"/>
    </row>
    <row r="19" spans="1:7" x14ac:dyDescent="0.3">
      <c r="A19" s="209" t="s">
        <v>208</v>
      </c>
      <c r="B19" s="13"/>
      <c r="C19" s="13"/>
      <c r="D19" s="13"/>
      <c r="E19" s="13"/>
      <c r="F19" s="218"/>
      <c r="G19" s="13"/>
    </row>
    <row r="20" spans="1:7" x14ac:dyDescent="0.3">
      <c r="A20" s="16" t="s">
        <v>77</v>
      </c>
      <c r="B20" s="13">
        <v>11473</v>
      </c>
      <c r="C20" s="205">
        <f>+'Dist GNCP - for ECRC'!G40</f>
        <v>1.0824300245152902</v>
      </c>
      <c r="D20" s="13">
        <f>+B20*C20</f>
        <v>12418.719671263925</v>
      </c>
      <c r="E20" s="205">
        <f t="shared" ref="E20:E21" si="4">+B20/D20</f>
        <v>0.92384724864574752</v>
      </c>
      <c r="F20" s="218">
        <f>+D20-B20</f>
        <v>945.71967126392519</v>
      </c>
      <c r="G20" s="205">
        <v>0</v>
      </c>
    </row>
    <row r="21" spans="1:7" x14ac:dyDescent="0.3">
      <c r="A21" s="206" t="s">
        <v>209</v>
      </c>
      <c r="B21" s="215">
        <f>+B20</f>
        <v>11473</v>
      </c>
      <c r="C21" s="216">
        <f>+D21/B21</f>
        <v>1.0824300245152902</v>
      </c>
      <c r="D21" s="215">
        <f>+D20</f>
        <v>12418.719671263925</v>
      </c>
      <c r="E21" s="216">
        <f t="shared" si="4"/>
        <v>0.92384724864574752</v>
      </c>
      <c r="F21" s="219">
        <f>+F20</f>
        <v>945.71967126392519</v>
      </c>
      <c r="G21" s="216">
        <f>+$E$70/E21</f>
        <v>1.0006245875855637</v>
      </c>
    </row>
    <row r="22" spans="1:7" x14ac:dyDescent="0.3">
      <c r="F22" s="124"/>
    </row>
    <row r="23" spans="1:7" x14ac:dyDescent="0.3">
      <c r="A23" s="209" t="s">
        <v>210</v>
      </c>
      <c r="B23" s="13"/>
      <c r="C23" s="13"/>
      <c r="D23" s="13"/>
      <c r="E23" s="13"/>
      <c r="F23" s="218"/>
      <c r="G23" s="13"/>
    </row>
    <row r="24" spans="1:7" x14ac:dyDescent="0.3">
      <c r="A24" s="16" t="s">
        <v>76</v>
      </c>
      <c r="B24" s="13">
        <v>13749.508201713939</v>
      </c>
      <c r="C24" s="205">
        <f>+'Dist GNCP - for ECRC'!G26</f>
        <v>1.0428721372396681</v>
      </c>
      <c r="D24" s="13">
        <f t="shared" ref="D24:D25" si="5">+B24*C24</f>
        <v>14338.979004315761</v>
      </c>
      <c r="E24" s="205">
        <f t="shared" ref="E24:E26" si="6">+B24/D24</f>
        <v>0.95889032249615525</v>
      </c>
      <c r="F24" s="218">
        <f>+D24-B24</f>
        <v>589.47080260182156</v>
      </c>
      <c r="G24" s="205">
        <v>0</v>
      </c>
    </row>
    <row r="25" spans="1:7" x14ac:dyDescent="0.3">
      <c r="A25" s="16" t="s">
        <v>77</v>
      </c>
      <c r="B25" s="13">
        <v>4758360.4917982854</v>
      </c>
      <c r="C25" s="205">
        <f>+'Dist GNCP - for ECRC'!G40</f>
        <v>1.0824300245152902</v>
      </c>
      <c r="D25" s="13">
        <f t="shared" si="5"/>
        <v>5150592.2637898065</v>
      </c>
      <c r="E25" s="205">
        <f t="shared" si="6"/>
        <v>0.92384724864574763</v>
      </c>
      <c r="F25" s="218">
        <f>+D25-B25</f>
        <v>392231.77199152112</v>
      </c>
      <c r="G25" s="205">
        <v>0</v>
      </c>
    </row>
    <row r="26" spans="1:7" x14ac:dyDescent="0.3">
      <c r="A26" s="206" t="s">
        <v>211</v>
      </c>
      <c r="B26" s="215">
        <f>+B24+B25</f>
        <v>4772109.9999999991</v>
      </c>
      <c r="C26" s="216">
        <f>+D26/B26</f>
        <v>1.0823160494611657</v>
      </c>
      <c r="D26" s="215">
        <f>+D24+D25</f>
        <v>5164931.2427941225</v>
      </c>
      <c r="E26" s="216">
        <f t="shared" si="6"/>
        <v>0.92394453588473813</v>
      </c>
      <c r="F26" s="219">
        <f>+F24+F25</f>
        <v>392821.24279412295</v>
      </c>
      <c r="G26" s="216">
        <f>+$E$70/E26</f>
        <v>1.0005192262791092</v>
      </c>
    </row>
    <row r="27" spans="1:7" x14ac:dyDescent="0.3">
      <c r="F27" s="124"/>
    </row>
    <row r="28" spans="1:7" x14ac:dyDescent="0.3">
      <c r="A28" s="209" t="s">
        <v>212</v>
      </c>
      <c r="B28" s="13"/>
      <c r="C28" s="13"/>
      <c r="D28" s="13"/>
      <c r="E28" s="13"/>
      <c r="F28" s="218"/>
      <c r="G28" s="13"/>
    </row>
    <row r="29" spans="1:7" x14ac:dyDescent="0.3">
      <c r="A29" s="16" t="s">
        <v>76</v>
      </c>
      <c r="B29" s="13">
        <v>74495.392285699971</v>
      </c>
      <c r="C29" s="205">
        <f>+'Dist GNCP - for ECRC'!G26</f>
        <v>1.0428721372396681</v>
      </c>
      <c r="D29" s="13">
        <f t="shared" ref="D29:D30" si="7">+B29*C29</f>
        <v>77689.16896749541</v>
      </c>
      <c r="E29" s="205">
        <f t="shared" ref="E29:E31" si="8">+B29/D29</f>
        <v>0.95889032249615525</v>
      </c>
      <c r="F29" s="218">
        <f>+D29-B29</f>
        <v>3193.7766817954398</v>
      </c>
      <c r="G29" s="205">
        <v>0</v>
      </c>
    </row>
    <row r="30" spans="1:7" x14ac:dyDescent="0.3">
      <c r="A30" s="16" t="s">
        <v>77</v>
      </c>
      <c r="B30" s="13">
        <v>1818432.6077143</v>
      </c>
      <c r="C30" s="205">
        <f>+'Dist GNCP - for ECRC'!G40</f>
        <v>1.0824300245152902</v>
      </c>
      <c r="D30" s="13">
        <f t="shared" si="7"/>
        <v>1968326.0521475929</v>
      </c>
      <c r="E30" s="205">
        <f t="shared" si="8"/>
        <v>0.92384724864574763</v>
      </c>
      <c r="F30" s="218">
        <f>+D30-B30</f>
        <v>149893.44443329284</v>
      </c>
      <c r="G30" s="205">
        <v>0</v>
      </c>
    </row>
    <row r="31" spans="1:7" x14ac:dyDescent="0.3">
      <c r="A31" s="206" t="s">
        <v>213</v>
      </c>
      <c r="B31" s="215">
        <f>+B29+B30</f>
        <v>1892928</v>
      </c>
      <c r="C31" s="216">
        <f>+D31/B31</f>
        <v>1.080873240353087</v>
      </c>
      <c r="D31" s="215">
        <f>+D29+D30</f>
        <v>2046015.2211150883</v>
      </c>
      <c r="E31" s="216">
        <f t="shared" si="8"/>
        <v>0.92517786791847278</v>
      </c>
      <c r="F31" s="219">
        <f>+F29+F30</f>
        <v>153087.22111508826</v>
      </c>
      <c r="G31" s="216">
        <f>+$E$70/E31</f>
        <v>0.99918545851949581</v>
      </c>
    </row>
    <row r="32" spans="1:7" x14ac:dyDescent="0.3">
      <c r="F32" s="124"/>
    </row>
    <row r="33" spans="1:7" x14ac:dyDescent="0.3">
      <c r="A33" s="209" t="s">
        <v>214</v>
      </c>
      <c r="B33" s="13"/>
      <c r="C33" s="13"/>
      <c r="D33" s="13"/>
      <c r="E33" s="13"/>
      <c r="F33" s="218"/>
      <c r="G33" s="13"/>
    </row>
    <row r="34" spans="1:7" x14ac:dyDescent="0.3">
      <c r="A34" s="16" t="s">
        <v>76</v>
      </c>
      <c r="B34" s="13">
        <v>125176.36380085445</v>
      </c>
      <c r="C34" s="205">
        <f>+'Dist GNCP - for ECRC'!G26</f>
        <v>1.0428721372396681</v>
      </c>
      <c r="D34" s="13">
        <f t="shared" ref="D34:D35" si="9">+B34*C34</f>
        <v>130542.9420488873</v>
      </c>
      <c r="E34" s="205">
        <f t="shared" ref="E34:E36" si="10">+B34/D34</f>
        <v>0.95889032249615525</v>
      </c>
      <c r="F34" s="218">
        <f>+D34-B34</f>
        <v>5366.5782480328489</v>
      </c>
      <c r="G34" s="205">
        <v>0</v>
      </c>
    </row>
    <row r="35" spans="1:7" x14ac:dyDescent="0.3">
      <c r="A35" s="16" t="s">
        <v>77</v>
      </c>
      <c r="B35" s="13">
        <v>259731.63619914552</v>
      </c>
      <c r="C35" s="205">
        <f>+'Dist GNCP - for ECRC'!G40</f>
        <v>1.0824300245152902</v>
      </c>
      <c r="D35" s="13">
        <f t="shared" si="9"/>
        <v>281141.32133843756</v>
      </c>
      <c r="E35" s="205">
        <f t="shared" si="10"/>
        <v>0.92384724864574752</v>
      </c>
      <c r="F35" s="218">
        <f>+D35-B35</f>
        <v>21409.685139292036</v>
      </c>
      <c r="G35" s="205">
        <v>0</v>
      </c>
    </row>
    <row r="36" spans="1:7" x14ac:dyDescent="0.3">
      <c r="A36" s="206" t="s">
        <v>215</v>
      </c>
      <c r="B36" s="215">
        <f>+B34+B35</f>
        <v>384908</v>
      </c>
      <c r="C36" s="216">
        <f>+D36/B36</f>
        <v>1.0695653594815511</v>
      </c>
      <c r="D36" s="215">
        <f>+D34+D35</f>
        <v>411684.26338732487</v>
      </c>
      <c r="E36" s="216">
        <f t="shared" si="10"/>
        <v>0.93495922538546739</v>
      </c>
      <c r="F36" s="219">
        <f>+F34+F35</f>
        <v>26776.263387324885</v>
      </c>
      <c r="G36" s="216">
        <f>+$E$70/E36</f>
        <v>0.98873217897506149</v>
      </c>
    </row>
    <row r="37" spans="1:7" x14ac:dyDescent="0.3">
      <c r="F37" s="124"/>
    </row>
    <row r="38" spans="1:7" x14ac:dyDescent="0.3">
      <c r="A38" s="209" t="s">
        <v>218</v>
      </c>
      <c r="B38" s="13"/>
      <c r="C38" s="13"/>
      <c r="D38" s="13"/>
      <c r="E38" s="13"/>
      <c r="F38" s="218"/>
      <c r="G38" s="13"/>
    </row>
    <row r="39" spans="1:7" x14ac:dyDescent="0.3">
      <c r="A39" s="16" t="s">
        <v>76</v>
      </c>
      <c r="B39" s="13">
        <f>+B40</f>
        <v>16573</v>
      </c>
      <c r="C39" s="205">
        <f>+'Dist GNCP - for ECRC'!G26</f>
        <v>1.0428721372396681</v>
      </c>
      <c r="D39" s="13">
        <f>+B39*C39</f>
        <v>17283.519930473019</v>
      </c>
      <c r="E39" s="205">
        <f t="shared" ref="E39:E40" si="11">+B39/D39</f>
        <v>0.95889032249615525</v>
      </c>
      <c r="F39" s="218">
        <f>+D39-B39</f>
        <v>710.51993047301949</v>
      </c>
      <c r="G39" s="205">
        <v>0</v>
      </c>
    </row>
    <row r="40" spans="1:7" x14ac:dyDescent="0.3">
      <c r="A40" s="206" t="s">
        <v>219</v>
      </c>
      <c r="B40" s="215">
        <v>16573</v>
      </c>
      <c r="C40" s="216">
        <f>+D40/B40</f>
        <v>1.0428721372396681</v>
      </c>
      <c r="D40" s="215">
        <f>+D39</f>
        <v>17283.519930473019</v>
      </c>
      <c r="E40" s="216">
        <f t="shared" si="11"/>
        <v>0.95889032249615525</v>
      </c>
      <c r="F40" s="219">
        <f>+F39</f>
        <v>710.51993047301949</v>
      </c>
      <c r="G40" s="216">
        <f>+$E$70/E40</f>
        <v>0.96405631643228451</v>
      </c>
    </row>
    <row r="41" spans="1:7" x14ac:dyDescent="0.3">
      <c r="F41" s="124"/>
    </row>
    <row r="42" spans="1:7" x14ac:dyDescent="0.3">
      <c r="A42" s="209" t="s">
        <v>220</v>
      </c>
      <c r="B42" s="13"/>
      <c r="C42" s="13"/>
      <c r="D42" s="13"/>
      <c r="E42" s="13"/>
      <c r="F42" s="218"/>
      <c r="G42" s="13"/>
    </row>
    <row r="43" spans="1:7" x14ac:dyDescent="0.3">
      <c r="A43" s="16" t="s">
        <v>77</v>
      </c>
      <c r="B43" s="13">
        <f>+B44</f>
        <v>27201</v>
      </c>
      <c r="C43" s="205">
        <f>+'Dist GNCP - for ECRC'!G40</f>
        <v>1.0824300245152902</v>
      </c>
      <c r="D43" s="13">
        <f>+B43*C43</f>
        <v>29443.179096840409</v>
      </c>
      <c r="E43" s="205">
        <f t="shared" ref="E43:E44" si="12">+B43/D43</f>
        <v>0.92384724864574763</v>
      </c>
      <c r="F43" s="218">
        <f>+D43-B43</f>
        <v>2242.1790968404093</v>
      </c>
      <c r="G43" s="205">
        <v>0</v>
      </c>
    </row>
    <row r="44" spans="1:7" x14ac:dyDescent="0.3">
      <c r="A44" s="206" t="s">
        <v>221</v>
      </c>
      <c r="B44" s="215">
        <v>27201</v>
      </c>
      <c r="C44" s="216">
        <f>+D44/B44</f>
        <v>1.0824300245152902</v>
      </c>
      <c r="D44" s="215">
        <f>+D43</f>
        <v>29443.179096840409</v>
      </c>
      <c r="E44" s="216">
        <f t="shared" si="12"/>
        <v>0.92384724864574763</v>
      </c>
      <c r="F44" s="219">
        <f>+F43</f>
        <v>2242.1790968404093</v>
      </c>
      <c r="G44" s="216">
        <f>+$E$70/E44</f>
        <v>1.0006245875855635</v>
      </c>
    </row>
    <row r="45" spans="1:7" x14ac:dyDescent="0.3">
      <c r="F45" s="124"/>
    </row>
    <row r="46" spans="1:7" x14ac:dyDescent="0.3">
      <c r="A46" s="209" t="s">
        <v>222</v>
      </c>
      <c r="B46" s="13"/>
      <c r="C46" s="13"/>
      <c r="D46" s="13"/>
      <c r="E46" s="13"/>
      <c r="F46" s="218"/>
      <c r="G46" s="13"/>
    </row>
    <row r="47" spans="1:7" x14ac:dyDescent="0.3">
      <c r="A47" s="16" t="s">
        <v>76</v>
      </c>
      <c r="B47" s="13">
        <f>+B48</f>
        <v>12949</v>
      </c>
      <c r="C47" s="205">
        <f>+'Dist GNCP - for ECRC'!G26</f>
        <v>1.0428721372396681</v>
      </c>
      <c r="D47" s="13">
        <f>+B47*C47</f>
        <v>13504.151305116462</v>
      </c>
      <c r="E47" s="205">
        <f t="shared" ref="E47:E48" si="13">+B47/D47</f>
        <v>0.95889032249615525</v>
      </c>
      <c r="F47" s="218">
        <f>+D47-B47</f>
        <v>555.15130511646203</v>
      </c>
      <c r="G47" s="205">
        <v>0</v>
      </c>
    </row>
    <row r="48" spans="1:7" x14ac:dyDescent="0.3">
      <c r="A48" s="206" t="s">
        <v>223</v>
      </c>
      <c r="B48" s="215">
        <v>12949</v>
      </c>
      <c r="C48" s="216">
        <f>+D48/B48</f>
        <v>1.0428721372396681</v>
      </c>
      <c r="D48" s="215">
        <f>+D47</f>
        <v>13504.151305116462</v>
      </c>
      <c r="E48" s="216">
        <f t="shared" si="13"/>
        <v>0.95889032249615525</v>
      </c>
      <c r="F48" s="219">
        <f>+F47</f>
        <v>555.15130511646203</v>
      </c>
      <c r="G48" s="216">
        <f>+$E$70/E48</f>
        <v>0.96405631643228451</v>
      </c>
    </row>
    <row r="49" spans="1:7" x14ac:dyDescent="0.3">
      <c r="F49" s="124"/>
    </row>
    <row r="50" spans="1:7" x14ac:dyDescent="0.3">
      <c r="A50" s="209" t="s">
        <v>224</v>
      </c>
      <c r="B50" s="13"/>
      <c r="C50" s="13"/>
      <c r="D50" s="13"/>
      <c r="E50" s="13"/>
      <c r="F50" s="218"/>
      <c r="G50" s="13"/>
    </row>
    <row r="51" spans="1:7" x14ac:dyDescent="0.3">
      <c r="A51" s="16" t="s">
        <v>77</v>
      </c>
      <c r="B51" s="13">
        <f>+B52</f>
        <v>14177423</v>
      </c>
      <c r="C51" s="205">
        <f>+'Dist GNCP - for ECRC'!G40</f>
        <v>1.0824300245152902</v>
      </c>
      <c r="D51" s="13">
        <f>+B51*C51</f>
        <v>15346068.325453639</v>
      </c>
      <c r="E51" s="205">
        <f t="shared" ref="E51:E52" si="14">+B51/D51</f>
        <v>0.92384724864574763</v>
      </c>
      <c r="F51" s="218">
        <f>+D51-B51</f>
        <v>1168645.325453639</v>
      </c>
      <c r="G51" s="205">
        <v>0</v>
      </c>
    </row>
    <row r="52" spans="1:7" x14ac:dyDescent="0.3">
      <c r="A52" s="206" t="s">
        <v>225</v>
      </c>
      <c r="B52" s="215">
        <v>14177423</v>
      </c>
      <c r="C52" s="216">
        <f>+D52/B52</f>
        <v>1.0824300245152902</v>
      </c>
      <c r="D52" s="215">
        <f>+D51</f>
        <v>15346068.325453639</v>
      </c>
      <c r="E52" s="216">
        <f t="shared" si="14"/>
        <v>0.92384724864574763</v>
      </c>
      <c r="F52" s="219">
        <f>+F51</f>
        <v>1168645.325453639</v>
      </c>
      <c r="G52" s="216">
        <f>+$E$70/E52</f>
        <v>1.0006245875855635</v>
      </c>
    </row>
    <row r="53" spans="1:7" x14ac:dyDescent="0.3">
      <c r="F53" s="124"/>
    </row>
    <row r="54" spans="1:7" x14ac:dyDescent="0.3">
      <c r="A54" s="209" t="s">
        <v>226</v>
      </c>
      <c r="B54" s="13"/>
      <c r="C54" s="13"/>
      <c r="D54" s="13"/>
      <c r="E54" s="13"/>
      <c r="F54" s="218"/>
      <c r="G54" s="13"/>
    </row>
    <row r="55" spans="1:7" x14ac:dyDescent="0.3">
      <c r="A55" s="16" t="s">
        <v>77</v>
      </c>
      <c r="B55" s="13">
        <f>+B56</f>
        <v>140741</v>
      </c>
      <c r="C55" s="205">
        <f>+'Dist GNCP - for ECRC'!G40</f>
        <v>1.0824300245152902</v>
      </c>
      <c r="D55" s="13">
        <f>+B55*C55</f>
        <v>152342.28408030648</v>
      </c>
      <c r="E55" s="205">
        <f t="shared" ref="E55:E56" si="15">+B55/D55</f>
        <v>0.92384724864574752</v>
      </c>
      <c r="F55" s="218">
        <f>+D55-B55</f>
        <v>11601.284080306476</v>
      </c>
      <c r="G55" s="205">
        <v>0</v>
      </c>
    </row>
    <row r="56" spans="1:7" x14ac:dyDescent="0.3">
      <c r="A56" s="206" t="s">
        <v>227</v>
      </c>
      <c r="B56" s="215">
        <v>140741</v>
      </c>
      <c r="C56" s="216">
        <f>+D56/B56</f>
        <v>1.0824300245152902</v>
      </c>
      <c r="D56" s="215">
        <f>+D55</f>
        <v>152342.28408030648</v>
      </c>
      <c r="E56" s="216">
        <f t="shared" si="15"/>
        <v>0.92384724864574752</v>
      </c>
      <c r="F56" s="219">
        <f>+F55</f>
        <v>11601.284080306476</v>
      </c>
      <c r="G56" s="216">
        <f>+$E$70/E56</f>
        <v>1.0006245875855637</v>
      </c>
    </row>
    <row r="57" spans="1:7" x14ac:dyDescent="0.3">
      <c r="F57" s="124"/>
    </row>
    <row r="58" spans="1:7" x14ac:dyDescent="0.3">
      <c r="A58" s="209" t="s">
        <v>228</v>
      </c>
      <c r="B58" s="13"/>
      <c r="C58" s="13"/>
      <c r="D58" s="13"/>
      <c r="E58" s="13"/>
      <c r="F58" s="218"/>
      <c r="G58" s="13"/>
    </row>
    <row r="59" spans="1:7" x14ac:dyDescent="0.3">
      <c r="A59" s="16" t="s">
        <v>77</v>
      </c>
      <c r="B59" s="13">
        <f>+B60</f>
        <v>3853</v>
      </c>
      <c r="C59" s="205">
        <f>+'Dist GNCP - for ECRC'!G40</f>
        <v>1.0824300245152902</v>
      </c>
      <c r="D59" s="13">
        <f>+B59*C59</f>
        <v>4170.602884457413</v>
      </c>
      <c r="E59" s="205">
        <f t="shared" ref="E59:E60" si="16">+B59/D59</f>
        <v>0.92384724864574763</v>
      </c>
      <c r="F59" s="218">
        <f>+D59-B59</f>
        <v>317.60288445741298</v>
      </c>
      <c r="G59" s="205">
        <v>0</v>
      </c>
    </row>
    <row r="60" spans="1:7" x14ac:dyDescent="0.3">
      <c r="A60" s="206" t="s">
        <v>229</v>
      </c>
      <c r="B60" s="215">
        <v>3853</v>
      </c>
      <c r="C60" s="216">
        <f>+D60/B60</f>
        <v>1.0824300245152902</v>
      </c>
      <c r="D60" s="215">
        <f>+D59</f>
        <v>4170.602884457413</v>
      </c>
      <c r="E60" s="216">
        <f t="shared" si="16"/>
        <v>0.92384724864574763</v>
      </c>
      <c r="F60" s="219">
        <f>+F59</f>
        <v>317.60288445741298</v>
      </c>
      <c r="G60" s="216">
        <f>+$E$70/E60</f>
        <v>1.0006245875855635</v>
      </c>
    </row>
    <row r="61" spans="1:7" x14ac:dyDescent="0.3">
      <c r="F61" s="124"/>
    </row>
    <row r="62" spans="1:7" x14ac:dyDescent="0.3">
      <c r="A62" s="209" t="s">
        <v>230</v>
      </c>
      <c r="B62" s="13"/>
      <c r="C62" s="13"/>
      <c r="D62" s="13"/>
      <c r="E62" s="13"/>
      <c r="F62" s="218"/>
      <c r="G62" s="13"/>
    </row>
    <row r="63" spans="1:7" x14ac:dyDescent="0.3">
      <c r="A63" s="16" t="s">
        <v>76</v>
      </c>
      <c r="B63" s="13">
        <f>+B64</f>
        <v>5550</v>
      </c>
      <c r="C63" s="205">
        <f>+'Dist GNCP - for ECRC'!G26</f>
        <v>1.0428721372396681</v>
      </c>
      <c r="D63" s="13">
        <f>+B63*C63</f>
        <v>5787.9403616801583</v>
      </c>
      <c r="E63" s="205">
        <f t="shared" ref="E63:E64" si="17">+B63/D63</f>
        <v>0.95889032249615513</v>
      </c>
      <c r="F63" s="218">
        <f>+D63-B63</f>
        <v>237.94036168015828</v>
      </c>
      <c r="G63" s="205">
        <v>0</v>
      </c>
    </row>
    <row r="64" spans="1:7" x14ac:dyDescent="0.3">
      <c r="A64" s="206" t="s">
        <v>231</v>
      </c>
      <c r="B64" s="215">
        <v>5550</v>
      </c>
      <c r="C64" s="216">
        <f>+D64/B64</f>
        <v>1.0428721372396681</v>
      </c>
      <c r="D64" s="215">
        <f>+D63</f>
        <v>5787.9403616801583</v>
      </c>
      <c r="E64" s="216">
        <f t="shared" si="17"/>
        <v>0.95889032249615513</v>
      </c>
      <c r="F64" s="219">
        <f>+F63</f>
        <v>237.94036168015828</v>
      </c>
      <c r="G64" s="216">
        <f>+$E$70/E64</f>
        <v>0.96405631643228462</v>
      </c>
    </row>
    <row r="65" spans="1:7" x14ac:dyDescent="0.3">
      <c r="F65" s="124"/>
    </row>
    <row r="66" spans="1:7" x14ac:dyDescent="0.3">
      <c r="B66" s="13"/>
      <c r="C66" s="13"/>
      <c r="D66" s="13"/>
      <c r="E66" s="13"/>
      <c r="F66" s="218"/>
      <c r="G66" s="13"/>
    </row>
    <row r="67" spans="1:7" ht="15" thickBot="1" x14ac:dyDescent="0.35">
      <c r="A67" s="21" t="s">
        <v>234</v>
      </c>
      <c r="B67" s="207">
        <f>+B8+B13+B17+B21+B26+B31+B36+B40+B44+B48+B52+B56+B60+B64</f>
        <v>23465293</v>
      </c>
      <c r="C67" s="208">
        <f>+D67/B67</f>
        <v>1.0817543741625593</v>
      </c>
      <c r="D67" s="207">
        <f>+D8+D13+D17+D21+D26+D31+D36+D40+D44+D48+D52+D56+D60+D64</f>
        <v>25383683.343756083</v>
      </c>
      <c r="E67" s="208">
        <f>+B67/D67</f>
        <v>0.92442427216820877</v>
      </c>
      <c r="F67" s="220">
        <f>+F8+F13+F17+F21+F26+F31+F36+F40+F44+F48+F52+F56+F60+F64</f>
        <v>1918390.3437560878</v>
      </c>
      <c r="G67" s="208">
        <f>+E74/E67</f>
        <v>0.99999937814438289</v>
      </c>
    </row>
    <row r="68" spans="1:7" x14ac:dyDescent="0.3">
      <c r="F68" s="124"/>
    </row>
    <row r="69" spans="1:7" x14ac:dyDescent="0.3">
      <c r="B69" s="13"/>
      <c r="C69" s="13"/>
      <c r="D69" s="13"/>
      <c r="E69" s="13"/>
      <c r="F69" s="218"/>
      <c r="G69" s="13"/>
    </row>
    <row r="70" spans="1:7" ht="15" thickBot="1" x14ac:dyDescent="0.35">
      <c r="A70" s="21" t="s">
        <v>242</v>
      </c>
      <c r="B70" s="210">
        <f>+B67</f>
        <v>23465293</v>
      </c>
      <c r="C70" s="211">
        <f>+D70/B70</f>
        <v>1.0817543741625593</v>
      </c>
      <c r="D70" s="210">
        <f>+D67</f>
        <v>25383683.343756083</v>
      </c>
      <c r="E70" s="211">
        <f>+B70/D70</f>
        <v>0.92442427216820877</v>
      </c>
      <c r="F70" s="221">
        <f>+F67</f>
        <v>1918390.3437560878</v>
      </c>
      <c r="G70" s="211">
        <f>+E74/E70</f>
        <v>0.99999937814438289</v>
      </c>
    </row>
    <row r="71" spans="1:7" x14ac:dyDescent="0.3">
      <c r="B71" s="13"/>
      <c r="C71" s="13"/>
      <c r="D71" s="13"/>
      <c r="E71" s="13"/>
      <c r="F71" s="218"/>
      <c r="G71" s="13"/>
    </row>
    <row r="72" spans="1:7" x14ac:dyDescent="0.3">
      <c r="A72" s="192" t="s">
        <v>244</v>
      </c>
      <c r="B72" s="104">
        <v>23385.953167956028</v>
      </c>
      <c r="C72" s="212">
        <f>+'Dist GNCP - for ECRC'!G40</f>
        <v>1.0824300245152902</v>
      </c>
      <c r="D72" s="104">
        <f>+B72*C72</f>
        <v>25313.657860904073</v>
      </c>
      <c r="E72" s="212">
        <f>+B72/D72</f>
        <v>0.92384724864574752</v>
      </c>
      <c r="F72" s="218">
        <f>+D72-B72</f>
        <v>1927.7046929480457</v>
      </c>
      <c r="G72" s="212"/>
    </row>
    <row r="73" spans="1:7" x14ac:dyDescent="0.3">
      <c r="B73" s="13"/>
      <c r="C73" s="13"/>
      <c r="D73" s="13"/>
      <c r="E73" s="13"/>
      <c r="F73" s="218"/>
      <c r="G73" s="13"/>
    </row>
    <row r="74" spans="1:7" ht="15" thickBot="1" x14ac:dyDescent="0.35">
      <c r="A74" s="21" t="s">
        <v>243</v>
      </c>
      <c r="B74" s="213">
        <f>+B70+B72</f>
        <v>23488678.953167956</v>
      </c>
      <c r="C74" s="214">
        <f>+D74/B74</f>
        <v>1.0817550468580115</v>
      </c>
      <c r="D74" s="213">
        <f>+D70+D72</f>
        <v>25408997.001616988</v>
      </c>
      <c r="E74" s="214">
        <f>+B74/D74</f>
        <v>0.92442369730978258</v>
      </c>
      <c r="F74" s="222">
        <f>+F70+F72</f>
        <v>1920318.048449036</v>
      </c>
      <c r="G74" s="214">
        <v>1</v>
      </c>
    </row>
    <row r="75" spans="1:7" ht="15" thickTop="1" x14ac:dyDescent="0.3"/>
    <row r="77" spans="1:7" x14ac:dyDescent="0.3">
      <c r="A77" s="2"/>
    </row>
    <row r="78" spans="1:7" x14ac:dyDescent="0.3">
      <c r="A78" s="2"/>
    </row>
    <row r="79" spans="1:7" x14ac:dyDescent="0.3">
      <c r="A79" s="2"/>
    </row>
    <row r="80" spans="1:7"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7" x14ac:dyDescent="0.3">
      <c r="A97" s="2"/>
    </row>
    <row r="98" spans="1:7" x14ac:dyDescent="0.3">
      <c r="A98" s="2"/>
    </row>
    <row r="99" spans="1:7" x14ac:dyDescent="0.3">
      <c r="A99" s="2"/>
    </row>
    <row r="100" spans="1:7" x14ac:dyDescent="0.3">
      <c r="A100" s="2"/>
    </row>
    <row r="101" spans="1:7" x14ac:dyDescent="0.3">
      <c r="A101" s="2"/>
    </row>
    <row r="102" spans="1:7" x14ac:dyDescent="0.3">
      <c r="A102" s="2"/>
    </row>
    <row r="103" spans="1:7" x14ac:dyDescent="0.3">
      <c r="A103" s="2"/>
    </row>
    <row r="104" spans="1:7" x14ac:dyDescent="0.3">
      <c r="A104" s="2"/>
    </row>
    <row r="105" spans="1:7" x14ac:dyDescent="0.3">
      <c r="A105" s="2"/>
    </row>
    <row r="106" spans="1:7" x14ac:dyDescent="0.3">
      <c r="A106" s="2"/>
    </row>
    <row r="107" spans="1:7" x14ac:dyDescent="0.3">
      <c r="A107" s="2"/>
    </row>
    <row r="108" spans="1:7" x14ac:dyDescent="0.3">
      <c r="A108" s="2"/>
    </row>
    <row r="109" spans="1:7" x14ac:dyDescent="0.3">
      <c r="A109" s="2"/>
    </row>
    <row r="110" spans="1:7" x14ac:dyDescent="0.3">
      <c r="A110" s="2"/>
    </row>
    <row r="111" spans="1:7" ht="15" thickBot="1" x14ac:dyDescent="0.35">
      <c r="A111" s="1"/>
      <c r="B111" s="1"/>
      <c r="C111" s="1"/>
      <c r="D111" s="1"/>
      <c r="E111" s="1"/>
      <c r="F111" s="1"/>
      <c r="G111" s="1"/>
    </row>
  </sheetData>
  <printOptions horizontalCentered="1"/>
  <pageMargins left="0.75" right="0.5" top="1.25" bottom="0.5" header="0.5" footer="0.3"/>
  <pageSetup scale="75" orientation="portrait" r:id="rId1"/>
  <headerFooter>
    <oddHeader>&amp;C&amp;"Arial,Bold"&amp;10LINE LOSS STUDY - 2014 ACTUALS
Florida Power and Light Company&amp;"Arial,Regular"
&amp;"Arial,Bold"Distribution GNCP Demand Losses by Rate Class&amp;"Arial,Regular"
&amp;"Arial,Bold"December 2014</oddHeader>
    <oddFooter>&amp;C&amp;10&amp;"Arial,"&amp;P of &amp;N</oddFooter>
  </headerFooter>
  <rowBreaks count="1" manualBreakCount="1">
    <brk id="57" max="16383" man="1"/>
  </rowBreaks>
  <ignoredErrors>
    <ignoredError sqref="C8 C13 C17 C21 C26 C31 C36 C67 C70 C74 E8 E13 E17 E21 E26 E31 E36 E40 E44 E48 E52 E56 E60 E64 E67 E70 E7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A81384F0AC4446BCFA4541262B40A3" ma:contentTypeVersion="" ma:contentTypeDescription="Create a new document." ma:contentTypeScope="" ma:versionID="7858f3f591b3ecf1ab3064870dd50f80">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Props1.xml><?xml version="1.0" encoding="utf-8"?>
<ds:datastoreItem xmlns:ds="http://schemas.openxmlformats.org/officeDocument/2006/customXml" ds:itemID="{D23F387C-B411-4EDC-A14B-356F9014C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C2288-3075-4FBD-B671-BBCC0F95F9A8}">
  <ds:schemaRefs>
    <ds:schemaRef ds:uri="http://schemas.microsoft.com/sharepoint/v3/contenttype/forms"/>
  </ds:schemaRefs>
</ds:datastoreItem>
</file>

<file path=customXml/itemProps3.xml><?xml version="1.0" encoding="utf-8"?>
<ds:datastoreItem xmlns:ds="http://schemas.openxmlformats.org/officeDocument/2006/customXml" ds:itemID="{05204ACC-DCB6-4AE4-A39F-2D7086B9D8A1}">
  <ds:schemaRefs>
    <ds:schemaRef ds:uri="http://www.w3.org/XML/1998/namespace"/>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c85253b9-0a55-49a1-98ad-b5b6252d707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Exec Summary</vt:lpstr>
      <vt:lpstr>Loss Expansion Factors - Energy</vt:lpstr>
      <vt:lpstr>Losses, Sales &amp; Co Use</vt:lpstr>
      <vt:lpstr>Data Summary</vt:lpstr>
      <vt:lpstr>Loss Expansion Factors - Demand</vt:lpstr>
      <vt:lpstr>Dist GNCP - for ECRC</vt:lpstr>
      <vt:lpstr>Energy Losses by Rate Class</vt:lpstr>
      <vt:lpstr>12CP Dem Losses by Rate Class</vt:lpstr>
      <vt:lpstr>GNCP Dem Losses by Rate Class</vt:lpstr>
      <vt:lpstr>Energy Losses by Rate GROUP</vt:lpstr>
      <vt:lpstr>12CP Dem Losses by Rate Group</vt:lpstr>
      <vt:lpstr>'12CP Dem Losses by Rate Class'!Print_Titles</vt:lpstr>
      <vt:lpstr>'12CP Dem Losses by Rate Group'!Print_Titles</vt:lpstr>
      <vt:lpstr>'Data Summary'!Print_Titles</vt:lpstr>
      <vt:lpstr>'Energy Losses by Rate Class'!Print_Titles</vt:lpstr>
      <vt:lpstr>'Energy Losses by Rate GROUP'!Print_Titles</vt:lpstr>
      <vt:lpstr>'GNCP Dem Losses by Rate Class'!Print_Titles</vt:lpstr>
      <vt:lpstr>'Loss Expansion Factors - Demand'!Print_Titles</vt:lpstr>
      <vt:lpstr>'Loss Expansion Factors - Energy'!Print_Titles</vt:lpstr>
      <vt:lpstr>'Losses, Sales &amp; Co Use'!Print_Titles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FPL_User</cp:lastModifiedBy>
  <cp:lastPrinted>2015-04-20T19:28:14Z</cp:lastPrinted>
  <dcterms:created xsi:type="dcterms:W3CDTF">2015-04-16T19:47:44Z</dcterms:created>
  <dcterms:modified xsi:type="dcterms:W3CDTF">2016-04-16T01:22:53Z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0x01010074A81384F0AC4446BCFA4541262B40A3</vt:lpwstr>
  </property>
</Properties>
</file>