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792" yWindow="96" windowWidth="15756" windowHeight="11016" tabRatio="871"/>
  </bookViews>
  <sheets>
    <sheet name="2017 Capacity Calc" sheetId="1" r:id="rId1"/>
    <sheet name="2017 Clause Allocations" sheetId="5" r:id="rId2"/>
    <sheet name="2018 Capacity Calc" sheetId="4" r:id="rId3"/>
    <sheet name="2018 Clause Allocations" sheetId="6" r:id="rId4"/>
    <sheet name="2019 Capacity Calc" sheetId="7" r:id="rId5"/>
    <sheet name="2020 Capacity Calc" sheetId="8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co_name_line1" localSheetId="3">#REF!</definedName>
    <definedName name="co_name_line1" localSheetId="4">#REF!</definedName>
    <definedName name="co_name_line1" localSheetId="5">#REF!</definedName>
    <definedName name="co_name_line1">#REF!</definedName>
    <definedName name="co_name_line2" localSheetId="3">#REF!</definedName>
    <definedName name="co_name_line2" localSheetId="4">#REF!</definedName>
    <definedName name="co_name_line2" localSheetId="5">#REF!</definedName>
    <definedName name="co_name_line2">#REF!</definedName>
    <definedName name="docket_num" localSheetId="3">#REF!</definedName>
    <definedName name="docket_num" localSheetId="4">#REF!</definedName>
    <definedName name="docket_num" localSheetId="5">#REF!</definedName>
    <definedName name="docket_num">#REF!</definedName>
    <definedName name="HISTORICAL_YEAR_DATE" localSheetId="3">#REF!</definedName>
    <definedName name="HISTORICAL_YEAR_DATE" localSheetId="4">#REF!</definedName>
    <definedName name="HISTORICAL_YEAR_DATE" localSheetId="5">#REF!</definedName>
    <definedName name="HISTORICAL_YEAR_DATE">#REF!</definedName>
    <definedName name="HISTORICAL_YEAR_X" localSheetId="3">#REF!</definedName>
    <definedName name="HISTORICAL_YEAR_X" localSheetId="4">#REF!</definedName>
    <definedName name="HISTORICAL_YEAR_X" localSheetId="5">#REF!</definedName>
    <definedName name="HISTORICAL_YEAR_X">#REF!</definedName>
    <definedName name="PAGE_1_END" localSheetId="3">#REF!</definedName>
    <definedName name="PAGE_1_END" localSheetId="4">#REF!</definedName>
    <definedName name="PAGE_1_END" localSheetId="5">#REF!</definedName>
    <definedName name="PAGE_1_END">#REF!</definedName>
    <definedName name="PAGE_1_START" localSheetId="3">#REF!</definedName>
    <definedName name="PAGE_1_START" localSheetId="4">#REF!</definedName>
    <definedName name="PAGE_1_START" localSheetId="5">#REF!</definedName>
    <definedName name="PAGE_1_START">#REF!</definedName>
    <definedName name="_xlnm.Print_Area" localSheetId="4">#REF!</definedName>
    <definedName name="_xlnm.Print_Area" localSheetId="5">#REF!</definedName>
    <definedName name="_xlnm.Print_Area">#REF!</definedName>
    <definedName name="PRIOR_YEAR_DATE" localSheetId="3">#REF!</definedName>
    <definedName name="PRIOR_YEAR_DATE" localSheetId="4">#REF!</definedName>
    <definedName name="PRIOR_YEAR_DATE" localSheetId="5">#REF!</definedName>
    <definedName name="PRIOR_YEAR_DATE">#REF!</definedName>
    <definedName name="PRIOR_YEAR_X" localSheetId="3">#REF!</definedName>
    <definedName name="PRIOR_YEAR_X" localSheetId="4">#REF!</definedName>
    <definedName name="PRIOR_YEAR_X" localSheetId="5">#REF!</definedName>
    <definedName name="PRIOR_YEAR_X">#REF!</definedName>
    <definedName name="SUBSEQUENT_YEAR_DATE" localSheetId="3">#REF!</definedName>
    <definedName name="SUBSEQUENT_YEAR_DATE" localSheetId="4">#REF!</definedName>
    <definedName name="SUBSEQUENT_YEAR_DATE" localSheetId="5">#REF!</definedName>
    <definedName name="SUBSEQUENT_YEAR_DATE">#REF!</definedName>
    <definedName name="SUBSEQUENT_YEAR_X" localSheetId="3">#REF!</definedName>
    <definedName name="SUBSEQUENT_YEAR_X" localSheetId="4">#REF!</definedName>
    <definedName name="SUBSEQUENT_YEAR_X" localSheetId="5">#REF!</definedName>
    <definedName name="SUBSEQUENT_YEAR_X">#REF!</definedName>
    <definedName name="TEST_YEAR_DATE" localSheetId="3">#REF!</definedName>
    <definedName name="TEST_YEAR_DATE" localSheetId="4">#REF!</definedName>
    <definedName name="TEST_YEAR_DATE" localSheetId="5">#REF!</definedName>
    <definedName name="TEST_YEAR_DATE">#REF!</definedName>
    <definedName name="TEST_YEAR_X" localSheetId="3">#REF!</definedName>
    <definedName name="TEST_YEAR_X" localSheetId="4">#REF!</definedName>
    <definedName name="TEST_YEAR_X" localSheetId="5">#REF!</definedName>
    <definedName name="TEST_YEAR_X">#REF!</definedName>
  </definedNames>
  <calcPr calcId="145621"/>
</workbook>
</file>

<file path=xl/calcChain.xml><?xml version="1.0" encoding="utf-8"?>
<calcChain xmlns="http://schemas.openxmlformats.org/spreadsheetml/2006/main">
  <c r="T25" i="8" l="1"/>
  <c r="T25" i="7"/>
  <c r="T25" i="4"/>
  <c r="T25" i="1"/>
  <c r="E23" i="8" l="1"/>
  <c r="E22" i="8"/>
  <c r="U22" i="8" s="1"/>
  <c r="E21" i="8"/>
  <c r="E20" i="8"/>
  <c r="E19" i="8"/>
  <c r="E18" i="8"/>
  <c r="E17" i="8"/>
  <c r="U17" i="8" s="1"/>
  <c r="E16" i="8"/>
  <c r="E15" i="8"/>
  <c r="E14" i="8"/>
  <c r="U14" i="8" s="1"/>
  <c r="E13" i="8"/>
  <c r="I13" i="8" s="1"/>
  <c r="E12" i="8"/>
  <c r="E11" i="8"/>
  <c r="E10" i="8"/>
  <c r="H23" i="8"/>
  <c r="G23" i="8"/>
  <c r="U23" i="8"/>
  <c r="D23" i="8"/>
  <c r="H22" i="8"/>
  <c r="G22" i="8"/>
  <c r="D22" i="8"/>
  <c r="H21" i="8"/>
  <c r="G21" i="8"/>
  <c r="D21" i="8"/>
  <c r="H20" i="8"/>
  <c r="G20" i="8"/>
  <c r="U20" i="8"/>
  <c r="D20" i="8"/>
  <c r="U19" i="8"/>
  <c r="H19" i="8"/>
  <c r="I19" i="8" s="1"/>
  <c r="G19" i="8"/>
  <c r="D19" i="8"/>
  <c r="F19" i="8" s="1"/>
  <c r="J19" i="8" s="1"/>
  <c r="H18" i="8"/>
  <c r="G18" i="8"/>
  <c r="I18" i="8"/>
  <c r="D18" i="8"/>
  <c r="H17" i="8"/>
  <c r="G17" i="8"/>
  <c r="D17" i="8"/>
  <c r="U16" i="8"/>
  <c r="H16" i="8"/>
  <c r="G16" i="8"/>
  <c r="F16" i="8"/>
  <c r="J16" i="8" s="1"/>
  <c r="I16" i="8"/>
  <c r="D16" i="8"/>
  <c r="H15" i="8"/>
  <c r="G15" i="8"/>
  <c r="U15" i="8"/>
  <c r="D15" i="8"/>
  <c r="H14" i="8"/>
  <c r="G14" i="8"/>
  <c r="I14" i="8"/>
  <c r="D14" i="8"/>
  <c r="H13" i="8"/>
  <c r="G13" i="8"/>
  <c r="D13" i="8"/>
  <c r="H12" i="8"/>
  <c r="G12" i="8"/>
  <c r="U12" i="8"/>
  <c r="D12" i="8"/>
  <c r="H11" i="8"/>
  <c r="G11" i="8"/>
  <c r="U11" i="8"/>
  <c r="D11" i="8"/>
  <c r="H10" i="8"/>
  <c r="G10" i="8"/>
  <c r="U10" i="8"/>
  <c r="D10" i="8"/>
  <c r="I21" i="8" l="1"/>
  <c r="F14" i="8"/>
  <c r="J14" i="8" s="1"/>
  <c r="F13" i="8"/>
  <c r="J13" i="8" s="1"/>
  <c r="U13" i="8"/>
  <c r="F21" i="8"/>
  <c r="J21" i="8" s="1"/>
  <c r="U21" i="8"/>
  <c r="U18" i="8"/>
  <c r="F18" i="8"/>
  <c r="J18" i="8" s="1"/>
  <c r="E25" i="8"/>
  <c r="I11" i="8"/>
  <c r="I12" i="8"/>
  <c r="I17" i="8"/>
  <c r="I10" i="8"/>
  <c r="I15" i="8"/>
  <c r="I20" i="8"/>
  <c r="I22" i="8"/>
  <c r="I23" i="8"/>
  <c r="F10" i="8"/>
  <c r="F11" i="8"/>
  <c r="J11" i="8" s="1"/>
  <c r="F12" i="8"/>
  <c r="J12" i="8" s="1"/>
  <c r="F15" i="8"/>
  <c r="J15" i="8" s="1"/>
  <c r="F17" i="8"/>
  <c r="J17" i="8" s="1"/>
  <c r="F20" i="8"/>
  <c r="J20" i="8" s="1"/>
  <c r="F22" i="8"/>
  <c r="J22" i="8" s="1"/>
  <c r="F23" i="8"/>
  <c r="J23" i="8" s="1"/>
  <c r="E19" i="7"/>
  <c r="H19" i="7"/>
  <c r="H19" i="4"/>
  <c r="G19" i="7"/>
  <c r="G19" i="4"/>
  <c r="H23" i="7"/>
  <c r="H22" i="7"/>
  <c r="H21" i="7"/>
  <c r="H20" i="7"/>
  <c r="H18" i="7"/>
  <c r="H17" i="7"/>
  <c r="H16" i="7"/>
  <c r="H15" i="7"/>
  <c r="H14" i="7"/>
  <c r="H13" i="7"/>
  <c r="H12" i="7"/>
  <c r="H11" i="7"/>
  <c r="H10" i="7"/>
  <c r="H23" i="4"/>
  <c r="H22" i="4"/>
  <c r="H21" i="4"/>
  <c r="H20" i="4"/>
  <c r="H18" i="4"/>
  <c r="H17" i="4"/>
  <c r="H16" i="4"/>
  <c r="H15" i="4"/>
  <c r="H14" i="4"/>
  <c r="H13" i="4"/>
  <c r="H12" i="4"/>
  <c r="H11" i="4"/>
  <c r="H10" i="4"/>
  <c r="G23" i="7"/>
  <c r="G22" i="7"/>
  <c r="G21" i="7"/>
  <c r="G20" i="7"/>
  <c r="G18" i="7"/>
  <c r="G17" i="7"/>
  <c r="G16" i="7"/>
  <c r="G15" i="7"/>
  <c r="G14" i="7"/>
  <c r="G13" i="7"/>
  <c r="G12" i="7"/>
  <c r="G11" i="7"/>
  <c r="G10" i="7"/>
  <c r="G23" i="4"/>
  <c r="G22" i="4"/>
  <c r="G21" i="4"/>
  <c r="G20" i="4"/>
  <c r="G18" i="4"/>
  <c r="G17" i="4"/>
  <c r="G16" i="4"/>
  <c r="G15" i="4"/>
  <c r="G14" i="4"/>
  <c r="G13" i="4"/>
  <c r="G12" i="4"/>
  <c r="G11" i="4"/>
  <c r="G10" i="4"/>
  <c r="H19" i="1"/>
  <c r="G19" i="1"/>
  <c r="H23" i="1"/>
  <c r="H22" i="1"/>
  <c r="H21" i="1"/>
  <c r="H20" i="1"/>
  <c r="H18" i="1"/>
  <c r="H17" i="1"/>
  <c r="H16" i="1"/>
  <c r="H15" i="1"/>
  <c r="H14" i="1"/>
  <c r="H13" i="1"/>
  <c r="H12" i="1"/>
  <c r="H11" i="1"/>
  <c r="H10" i="1"/>
  <c r="G23" i="1"/>
  <c r="G22" i="1"/>
  <c r="G21" i="1"/>
  <c r="G20" i="1"/>
  <c r="G18" i="1"/>
  <c r="G17" i="1"/>
  <c r="G16" i="1"/>
  <c r="G15" i="1"/>
  <c r="G14" i="1"/>
  <c r="G13" i="1"/>
  <c r="G12" i="1"/>
  <c r="G11" i="1"/>
  <c r="G10" i="1"/>
  <c r="D23" i="7"/>
  <c r="F27" i="6"/>
  <c r="D23" i="4"/>
  <c r="F27" i="5"/>
  <c r="D23" i="1"/>
  <c r="D22" i="7"/>
  <c r="F26" i="6"/>
  <c r="D22" i="4"/>
  <c r="F26" i="5"/>
  <c r="D22" i="1"/>
  <c r="D20" i="7"/>
  <c r="G24" i="6"/>
  <c r="D20" i="4"/>
  <c r="G24" i="5"/>
  <c r="D20" i="1"/>
  <c r="D19" i="7"/>
  <c r="G23" i="6"/>
  <c r="D19" i="4"/>
  <c r="G23" i="5"/>
  <c r="D19" i="1"/>
  <c r="D18" i="7"/>
  <c r="F22" i="6"/>
  <c r="D18" i="4"/>
  <c r="F22" i="5"/>
  <c r="D18" i="1"/>
  <c r="D17" i="7"/>
  <c r="F21" i="6"/>
  <c r="D17" i="4"/>
  <c r="F21" i="5"/>
  <c r="D17" i="1"/>
  <c r="D16" i="7"/>
  <c r="G20" i="6"/>
  <c r="D16" i="4"/>
  <c r="G20" i="5"/>
  <c r="D16" i="1"/>
  <c r="D15" i="7"/>
  <c r="F19" i="6"/>
  <c r="D15" i="4"/>
  <c r="F19" i="5"/>
  <c r="D15" i="1"/>
  <c r="D14" i="7"/>
  <c r="F18" i="6"/>
  <c r="D14" i="4"/>
  <c r="F18" i="5"/>
  <c r="D14" i="1"/>
  <c r="D13" i="7"/>
  <c r="F17" i="6"/>
  <c r="D13" i="4"/>
  <c r="F17" i="5"/>
  <c r="D13" i="1"/>
  <c r="D12" i="7"/>
  <c r="F16" i="6"/>
  <c r="D12" i="4"/>
  <c r="F16" i="5"/>
  <c r="D12" i="1"/>
  <c r="D11" i="7"/>
  <c r="F15" i="6"/>
  <c r="D11" i="4"/>
  <c r="F15" i="5"/>
  <c r="D11" i="1"/>
  <c r="E23" i="4"/>
  <c r="E22" i="4"/>
  <c r="E21" i="4"/>
  <c r="E20" i="4"/>
  <c r="E19" i="4"/>
  <c r="E18" i="4"/>
  <c r="E17" i="4"/>
  <c r="E16" i="4"/>
  <c r="E15" i="4"/>
  <c r="E14" i="4"/>
  <c r="E13" i="4"/>
  <c r="E12" i="4"/>
  <c r="E11" i="4"/>
  <c r="E10" i="4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D10" i="7"/>
  <c r="F14" i="6"/>
  <c r="D10" i="4"/>
  <c r="F14" i="5"/>
  <c r="D10" i="1"/>
  <c r="D21" i="7"/>
  <c r="E25" i="6"/>
  <c r="D21" i="4"/>
  <c r="E25" i="5"/>
  <c r="D21" i="1"/>
  <c r="B4" i="1"/>
  <c r="U19" i="7"/>
  <c r="E18" i="7"/>
  <c r="I18" i="7" s="1"/>
  <c r="E17" i="7"/>
  <c r="E16" i="7"/>
  <c r="E15" i="7"/>
  <c r="E14" i="7"/>
  <c r="E13" i="7"/>
  <c r="E12" i="7"/>
  <c r="U12" i="7" s="1"/>
  <c r="E11" i="7"/>
  <c r="U11" i="7" s="1"/>
  <c r="E10" i="7"/>
  <c r="E23" i="7"/>
  <c r="I23" i="7" s="1"/>
  <c r="E22" i="7"/>
  <c r="E21" i="7"/>
  <c r="U21" i="7" s="1"/>
  <c r="E20" i="7"/>
  <c r="U13" i="7"/>
  <c r="I22" i="7"/>
  <c r="U18" i="7"/>
  <c r="F18" i="7"/>
  <c r="J18" i="7" s="1"/>
  <c r="U16" i="7"/>
  <c r="U14" i="7"/>
  <c r="I20" i="7" l="1"/>
  <c r="I25" i="8"/>
  <c r="K10" i="8" s="1"/>
  <c r="J10" i="8"/>
  <c r="F25" i="8"/>
  <c r="U25" i="8"/>
  <c r="F12" i="7"/>
  <c r="J12" i="7" s="1"/>
  <c r="I11" i="7"/>
  <c r="F15" i="7"/>
  <c r="J15" i="7" s="1"/>
  <c r="U15" i="7"/>
  <c r="U23" i="7"/>
  <c r="F23" i="7"/>
  <c r="J23" i="7" s="1"/>
  <c r="U20" i="7"/>
  <c r="F20" i="7"/>
  <c r="J20" i="7" s="1"/>
  <c r="U22" i="7"/>
  <c r="F22" i="7"/>
  <c r="J22" i="7" s="1"/>
  <c r="U17" i="7"/>
  <c r="F17" i="7"/>
  <c r="J17" i="7" s="1"/>
  <c r="E25" i="7"/>
  <c r="I10" i="7"/>
  <c r="F11" i="7"/>
  <c r="J11" i="7" s="1"/>
  <c r="F10" i="7"/>
  <c r="U10" i="7"/>
  <c r="I12" i="7"/>
  <c r="I15" i="7"/>
  <c r="I17" i="7"/>
  <c r="I13" i="7"/>
  <c r="I16" i="7"/>
  <c r="I19" i="7"/>
  <c r="I21" i="7"/>
  <c r="I14" i="7"/>
  <c r="F13" i="7"/>
  <c r="J13" i="7" s="1"/>
  <c r="F14" i="7"/>
  <c r="J14" i="7" s="1"/>
  <c r="F16" i="7"/>
  <c r="J16" i="7" s="1"/>
  <c r="F19" i="7"/>
  <c r="J19" i="7" s="1"/>
  <c r="F21" i="7"/>
  <c r="J21" i="7" s="1"/>
  <c r="K17" i="8" l="1"/>
  <c r="P17" i="8" s="1"/>
  <c r="R17" i="8" s="1"/>
  <c r="K22" i="8"/>
  <c r="P22" i="8" s="1"/>
  <c r="R22" i="8" s="1"/>
  <c r="K12" i="8"/>
  <c r="P12" i="8" s="1"/>
  <c r="R12" i="8" s="1"/>
  <c r="K23" i="8"/>
  <c r="P23" i="8" s="1"/>
  <c r="R23" i="8" s="1"/>
  <c r="P10" i="8"/>
  <c r="R10" i="8" s="1"/>
  <c r="K21" i="8"/>
  <c r="P21" i="8" s="1"/>
  <c r="R21" i="8" s="1"/>
  <c r="K18" i="8"/>
  <c r="P18" i="8" s="1"/>
  <c r="R18" i="8" s="1"/>
  <c r="K13" i="8"/>
  <c r="P13" i="8" s="1"/>
  <c r="R13" i="8" s="1"/>
  <c r="K19" i="8"/>
  <c r="P19" i="8" s="1"/>
  <c r="R19" i="8" s="1"/>
  <c r="K14" i="8"/>
  <c r="P14" i="8" s="1"/>
  <c r="R14" i="8" s="1"/>
  <c r="K16" i="8"/>
  <c r="P16" i="8" s="1"/>
  <c r="R16" i="8" s="1"/>
  <c r="K11" i="8"/>
  <c r="P11" i="8" s="1"/>
  <c r="R11" i="8" s="1"/>
  <c r="J25" i="8"/>
  <c r="L10" i="8"/>
  <c r="K20" i="8"/>
  <c r="P20" i="8" s="1"/>
  <c r="R20" i="8" s="1"/>
  <c r="K15" i="8"/>
  <c r="P15" i="8" s="1"/>
  <c r="R15" i="8" s="1"/>
  <c r="I25" i="7"/>
  <c r="K21" i="7" s="1"/>
  <c r="P21" i="7" s="1"/>
  <c r="R21" i="7" s="1"/>
  <c r="U25" i="7"/>
  <c r="F25" i="7"/>
  <c r="J10" i="7"/>
  <c r="K25" i="8" l="1"/>
  <c r="R25" i="8"/>
  <c r="Q10" i="8"/>
  <c r="S10" i="8" s="1"/>
  <c r="T10" i="8" s="1"/>
  <c r="Y10" i="8" s="1"/>
  <c r="Z18" i="8"/>
  <c r="L16" i="8"/>
  <c r="Q16" i="8" s="1"/>
  <c r="S16" i="8" s="1"/>
  <c r="T16" i="8" s="1"/>
  <c r="L21" i="8"/>
  <c r="Q21" i="8" s="1"/>
  <c r="S21" i="8" s="1"/>
  <c r="T21" i="8" s="1"/>
  <c r="Z17" i="8"/>
  <c r="AA18" i="8"/>
  <c r="L19" i="8"/>
  <c r="Q19" i="8" s="1"/>
  <c r="S19" i="8" s="1"/>
  <c r="T19" i="8" s="1"/>
  <c r="L14" i="8"/>
  <c r="Q14" i="8" s="1"/>
  <c r="S14" i="8" s="1"/>
  <c r="T14" i="8" s="1"/>
  <c r="L13" i="8"/>
  <c r="Q13" i="8" s="1"/>
  <c r="S13" i="8" s="1"/>
  <c r="T13" i="8" s="1"/>
  <c r="Y13" i="8" s="1"/>
  <c r="AA17" i="8"/>
  <c r="L11" i="8"/>
  <c r="Q11" i="8" s="1"/>
  <c r="S11" i="8" s="1"/>
  <c r="T11" i="8" s="1"/>
  <c r="Y11" i="8" s="1"/>
  <c r="L17" i="8"/>
  <c r="Q17" i="8" s="1"/>
  <c r="S17" i="8" s="1"/>
  <c r="T17" i="8" s="1"/>
  <c r="L23" i="8"/>
  <c r="Q23" i="8" s="1"/>
  <c r="S23" i="8" s="1"/>
  <c r="T23" i="8" s="1"/>
  <c r="Y23" i="8" s="1"/>
  <c r="L18" i="8"/>
  <c r="Q18" i="8" s="1"/>
  <c r="S18" i="8" s="1"/>
  <c r="T18" i="8" s="1"/>
  <c r="L15" i="8"/>
  <c r="Q15" i="8" s="1"/>
  <c r="S15" i="8" s="1"/>
  <c r="T15" i="8" s="1"/>
  <c r="L22" i="8"/>
  <c r="Q22" i="8" s="1"/>
  <c r="S22" i="8" s="1"/>
  <c r="T22" i="8" s="1"/>
  <c r="Y22" i="8" s="1"/>
  <c r="L12" i="8"/>
  <c r="Q12" i="8" s="1"/>
  <c r="S12" i="8" s="1"/>
  <c r="T12" i="8" s="1"/>
  <c r="L20" i="8"/>
  <c r="Q20" i="8" s="1"/>
  <c r="S20" i="8" s="1"/>
  <c r="T20" i="8" s="1"/>
  <c r="K13" i="7"/>
  <c r="P13" i="7" s="1"/>
  <c r="R13" i="7" s="1"/>
  <c r="K16" i="7"/>
  <c r="P16" i="7" s="1"/>
  <c r="R16" i="7" s="1"/>
  <c r="K14" i="7"/>
  <c r="P14" i="7" s="1"/>
  <c r="R14" i="7" s="1"/>
  <c r="K11" i="7"/>
  <c r="P11" i="7" s="1"/>
  <c r="R11" i="7" s="1"/>
  <c r="K12" i="7"/>
  <c r="P12" i="7" s="1"/>
  <c r="R12" i="7" s="1"/>
  <c r="K17" i="7"/>
  <c r="P17" i="7" s="1"/>
  <c r="R17" i="7" s="1"/>
  <c r="K10" i="7"/>
  <c r="P10" i="7" s="1"/>
  <c r="R10" i="7" s="1"/>
  <c r="K15" i="7"/>
  <c r="P15" i="7" s="1"/>
  <c r="R15" i="7" s="1"/>
  <c r="K19" i="7"/>
  <c r="P19" i="7" s="1"/>
  <c r="R19" i="7" s="1"/>
  <c r="J25" i="7"/>
  <c r="L10" i="7" s="1"/>
  <c r="K23" i="7"/>
  <c r="P23" i="7" s="1"/>
  <c r="R23" i="7" s="1"/>
  <c r="K20" i="7"/>
  <c r="P20" i="7" s="1"/>
  <c r="R20" i="7" s="1"/>
  <c r="K22" i="7"/>
  <c r="P22" i="7" s="1"/>
  <c r="R22" i="7" s="1"/>
  <c r="K18" i="7"/>
  <c r="P18" i="7" s="1"/>
  <c r="R18" i="7" s="1"/>
  <c r="L25" i="8" l="1"/>
  <c r="S25" i="8"/>
  <c r="R25" i="7"/>
  <c r="Q10" i="7"/>
  <c r="S10" i="7" s="1"/>
  <c r="K25" i="7"/>
  <c r="Z18" i="7"/>
  <c r="AA17" i="7"/>
  <c r="Z17" i="7"/>
  <c r="AA18" i="7"/>
  <c r="L12" i="7"/>
  <c r="Q12" i="7" s="1"/>
  <c r="S12" i="7" s="1"/>
  <c r="T12" i="7" s="1"/>
  <c r="L18" i="7"/>
  <c r="Q18" i="7" s="1"/>
  <c r="S18" i="7" s="1"/>
  <c r="T18" i="7" s="1"/>
  <c r="L16" i="7"/>
  <c r="Q16" i="7" s="1"/>
  <c r="S16" i="7" s="1"/>
  <c r="T16" i="7" s="1"/>
  <c r="L21" i="7"/>
  <c r="Q21" i="7" s="1"/>
  <c r="S21" i="7" s="1"/>
  <c r="T21" i="7" s="1"/>
  <c r="L22" i="7"/>
  <c r="Q22" i="7" s="1"/>
  <c r="S22" i="7" s="1"/>
  <c r="T22" i="7" s="1"/>
  <c r="Y22" i="7" s="1"/>
  <c r="L11" i="7"/>
  <c r="Q11" i="7" s="1"/>
  <c r="S11" i="7" s="1"/>
  <c r="T11" i="7" s="1"/>
  <c r="Y11" i="7" s="1"/>
  <c r="L23" i="7"/>
  <c r="Q23" i="7" s="1"/>
  <c r="S23" i="7" s="1"/>
  <c r="T23" i="7" s="1"/>
  <c r="Y23" i="7" s="1"/>
  <c r="L13" i="7"/>
  <c r="Q13" i="7" s="1"/>
  <c r="S13" i="7" s="1"/>
  <c r="T13" i="7" s="1"/>
  <c r="Y13" i="7" s="1"/>
  <c r="L17" i="7"/>
  <c r="Q17" i="7" s="1"/>
  <c r="S17" i="7" s="1"/>
  <c r="T17" i="7" s="1"/>
  <c r="L14" i="7"/>
  <c r="Q14" i="7" s="1"/>
  <c r="S14" i="7" s="1"/>
  <c r="T14" i="7" s="1"/>
  <c r="L20" i="7"/>
  <c r="Q20" i="7" s="1"/>
  <c r="S20" i="7" s="1"/>
  <c r="T20" i="7" s="1"/>
  <c r="L19" i="7"/>
  <c r="Q19" i="7" s="1"/>
  <c r="S19" i="7" s="1"/>
  <c r="T19" i="7" s="1"/>
  <c r="L15" i="7"/>
  <c r="Q15" i="7" s="1"/>
  <c r="S15" i="7" s="1"/>
  <c r="T15" i="7" s="1"/>
  <c r="S25" i="7" l="1"/>
  <c r="T10" i="7"/>
  <c r="Y10" i="7" s="1"/>
  <c r="L25" i="7"/>
  <c r="F23" i="4" l="1"/>
  <c r="F21" i="4"/>
  <c r="F17" i="4"/>
  <c r="F11" i="4" l="1"/>
  <c r="F15" i="4"/>
  <c r="F12" i="4"/>
  <c r="F20" i="4"/>
  <c r="F13" i="4"/>
  <c r="F19" i="4"/>
  <c r="F10" i="4"/>
  <c r="F14" i="4"/>
  <c r="F18" i="4"/>
  <c r="F22" i="4"/>
  <c r="F16" i="4"/>
  <c r="F12" i="1" l="1"/>
  <c r="F16" i="1"/>
  <c r="F11" i="1"/>
  <c r="F15" i="1"/>
  <c r="F19" i="1"/>
  <c r="F23" i="1"/>
  <c r="F20" i="1"/>
  <c r="F13" i="1"/>
  <c r="F17" i="1"/>
  <c r="F21" i="1"/>
  <c r="F10" i="1"/>
  <c r="F14" i="1"/>
  <c r="F18" i="1"/>
  <c r="F22" i="1"/>
  <c r="A5" i="5" l="1"/>
  <c r="C25" i="6" l="1"/>
  <c r="U21" i="4"/>
  <c r="I21" i="4"/>
  <c r="C18" i="6" l="1"/>
  <c r="U14" i="4"/>
  <c r="I14" i="4"/>
  <c r="C21" i="6"/>
  <c r="I17" i="4"/>
  <c r="U17" i="4"/>
  <c r="C19" i="6"/>
  <c r="U15" i="4"/>
  <c r="I15" i="4"/>
  <c r="C22" i="6"/>
  <c r="U18" i="4"/>
  <c r="I18" i="4"/>
  <c r="C20" i="6"/>
  <c r="H20" i="6" s="1"/>
  <c r="V16" i="8" s="1"/>
  <c r="W16" i="8" s="1"/>
  <c r="X16" i="8" s="1"/>
  <c r="U16" i="4"/>
  <c r="I16" i="4"/>
  <c r="C17" i="6"/>
  <c r="U13" i="4"/>
  <c r="I13" i="4"/>
  <c r="C16" i="6"/>
  <c r="U12" i="4"/>
  <c r="I12" i="4"/>
  <c r="C14" i="6"/>
  <c r="U10" i="4"/>
  <c r="I10" i="4"/>
  <c r="V16" i="4" l="1"/>
  <c r="W16" i="4" s="1"/>
  <c r="V16" i="7"/>
  <c r="W16" i="7" s="1"/>
  <c r="X16" i="7" s="1"/>
  <c r="C26" i="6"/>
  <c r="U22" i="4"/>
  <c r="I22" i="4"/>
  <c r="C27" i="6"/>
  <c r="I23" i="4"/>
  <c r="U23" i="4"/>
  <c r="C24" i="6" l="1"/>
  <c r="U20" i="4"/>
  <c r="I20" i="4"/>
  <c r="C15" i="6"/>
  <c r="U11" i="4"/>
  <c r="I11" i="4"/>
  <c r="H24" i="6" l="1"/>
  <c r="V20" i="8" s="1"/>
  <c r="W20" i="8" s="1"/>
  <c r="X20" i="8" s="1"/>
  <c r="G29" i="6"/>
  <c r="V20" i="4" l="1"/>
  <c r="W20" i="4" s="1"/>
  <c r="V20" i="7"/>
  <c r="W20" i="7" s="1"/>
  <c r="X20" i="7" s="1"/>
  <c r="C23" i="6"/>
  <c r="U19" i="4"/>
  <c r="U25" i="4" s="1"/>
  <c r="I19" i="4"/>
  <c r="E25" i="4"/>
  <c r="I25" i="4" l="1"/>
  <c r="H23" i="6"/>
  <c r="V19" i="8" s="1"/>
  <c r="W19" i="8" s="1"/>
  <c r="X19" i="8" s="1"/>
  <c r="C29" i="6"/>
  <c r="V19" i="4" l="1"/>
  <c r="W19" i="4" s="1"/>
  <c r="V19" i="7"/>
  <c r="W19" i="7" s="1"/>
  <c r="X19" i="7" s="1"/>
  <c r="K21" i="4"/>
  <c r="P21" i="4" s="1"/>
  <c r="K16" i="4"/>
  <c r="P16" i="4" s="1"/>
  <c r="K15" i="4"/>
  <c r="P15" i="4" s="1"/>
  <c r="K17" i="4"/>
  <c r="P17" i="4" s="1"/>
  <c r="K18" i="4"/>
  <c r="P18" i="4" s="1"/>
  <c r="K12" i="4"/>
  <c r="P12" i="4" s="1"/>
  <c r="K10" i="4"/>
  <c r="K14" i="4"/>
  <c r="P14" i="4" s="1"/>
  <c r="K13" i="4"/>
  <c r="P13" i="4" s="1"/>
  <c r="K22" i="4"/>
  <c r="P22" i="4" s="1"/>
  <c r="K23" i="4"/>
  <c r="P23" i="4" s="1"/>
  <c r="K20" i="4"/>
  <c r="P20" i="4" s="1"/>
  <c r="K11" i="4"/>
  <c r="P11" i="4" s="1"/>
  <c r="K19" i="4"/>
  <c r="P19" i="4" s="1"/>
  <c r="K25" i="4" l="1"/>
  <c r="P10" i="4"/>
  <c r="C15" i="5" l="1"/>
  <c r="U11" i="1"/>
  <c r="I11" i="1"/>
  <c r="C18" i="5"/>
  <c r="U14" i="1"/>
  <c r="I14" i="1"/>
  <c r="C24" i="5"/>
  <c r="U20" i="1"/>
  <c r="I20" i="1"/>
  <c r="C20" i="5"/>
  <c r="H20" i="5" s="1"/>
  <c r="U16" i="1"/>
  <c r="I16" i="1"/>
  <c r="C25" i="5"/>
  <c r="I21" i="1"/>
  <c r="U21" i="1"/>
  <c r="C17" i="5"/>
  <c r="U13" i="1"/>
  <c r="I13" i="1"/>
  <c r="C21" i="5"/>
  <c r="U17" i="1"/>
  <c r="I17" i="1"/>
  <c r="C16" i="5"/>
  <c r="I12" i="1"/>
  <c r="U12" i="1"/>
  <c r="C14" i="5"/>
  <c r="I10" i="1"/>
  <c r="U10" i="1"/>
  <c r="C22" i="5"/>
  <c r="I18" i="1"/>
  <c r="U18" i="1"/>
  <c r="C19" i="5"/>
  <c r="I15" i="1"/>
  <c r="U15" i="1"/>
  <c r="G29" i="5"/>
  <c r="C26" i="5" l="1"/>
  <c r="U22" i="1"/>
  <c r="I22" i="1"/>
  <c r="C27" i="5"/>
  <c r="U23" i="1"/>
  <c r="I23" i="1"/>
  <c r="C23" i="5"/>
  <c r="I19" i="1"/>
  <c r="U19" i="1"/>
  <c r="E25" i="1"/>
  <c r="H24" i="5"/>
  <c r="V20" i="1" s="1"/>
  <c r="W20" i="1" s="1"/>
  <c r="V16" i="1"/>
  <c r="W16" i="1" s="1"/>
  <c r="U25" i="1" l="1"/>
  <c r="C29" i="5"/>
  <c r="I25" i="1"/>
  <c r="K17" i="1" s="1"/>
  <c r="P17" i="1" s="1"/>
  <c r="R17" i="1" s="1"/>
  <c r="H23" i="5"/>
  <c r="V19" i="1" s="1"/>
  <c r="W19" i="1" s="1"/>
  <c r="K10" i="1" l="1"/>
  <c r="P10" i="1" s="1"/>
  <c r="R10" i="1" s="1"/>
  <c r="K21" i="1"/>
  <c r="P21" i="1" s="1"/>
  <c r="R21" i="1" s="1"/>
  <c r="K22" i="1"/>
  <c r="P22" i="1" s="1"/>
  <c r="R22" i="1" s="1"/>
  <c r="K13" i="1"/>
  <c r="P13" i="1" s="1"/>
  <c r="R13" i="1" s="1"/>
  <c r="K20" i="1"/>
  <c r="P20" i="1" s="1"/>
  <c r="R20" i="1" s="1"/>
  <c r="K16" i="1"/>
  <c r="P16" i="1" s="1"/>
  <c r="R16" i="1" s="1"/>
  <c r="K23" i="1"/>
  <c r="P23" i="1" s="1"/>
  <c r="R23" i="1" s="1"/>
  <c r="K14" i="1"/>
  <c r="P14" i="1" s="1"/>
  <c r="R14" i="1" s="1"/>
  <c r="K15" i="1"/>
  <c r="P15" i="1" s="1"/>
  <c r="R15" i="1" s="1"/>
  <c r="K18" i="1"/>
  <c r="P18" i="1" s="1"/>
  <c r="R18" i="1" s="1"/>
  <c r="K19" i="1"/>
  <c r="P19" i="1" s="1"/>
  <c r="R19" i="1" s="1"/>
  <c r="K12" i="1"/>
  <c r="P12" i="1" s="1"/>
  <c r="R12" i="1" s="1"/>
  <c r="K11" i="1"/>
  <c r="P11" i="1" s="1"/>
  <c r="R11" i="1" s="1"/>
  <c r="K25" i="1" l="1"/>
  <c r="R25" i="1"/>
  <c r="D25" i="6" l="1"/>
  <c r="B25" i="6" s="1"/>
  <c r="J21" i="4"/>
  <c r="H18" i="6"/>
  <c r="V14" i="8" s="1"/>
  <c r="W14" i="8" s="1"/>
  <c r="X14" i="8" s="1"/>
  <c r="H16" i="6"/>
  <c r="V12" i="8" s="1"/>
  <c r="W12" i="8" s="1"/>
  <c r="X12" i="8" s="1"/>
  <c r="H21" i="6"/>
  <c r="V17" i="8" s="1"/>
  <c r="W17" i="8" s="1"/>
  <c r="H22" i="6"/>
  <c r="V18" i="8" s="1"/>
  <c r="W18" i="8" s="1"/>
  <c r="H19" i="6"/>
  <c r="V15" i="8" s="1"/>
  <c r="W15" i="8" s="1"/>
  <c r="X15" i="8" s="1"/>
  <c r="H17" i="6"/>
  <c r="H15" i="6"/>
  <c r="V17" i="4" l="1"/>
  <c r="W17" i="4" s="1"/>
  <c r="V17" i="7"/>
  <c r="W17" i="7" s="1"/>
  <c r="V15" i="4"/>
  <c r="W15" i="4" s="1"/>
  <c r="V15" i="7"/>
  <c r="W15" i="7" s="1"/>
  <c r="X15" i="7" s="1"/>
  <c r="V14" i="4"/>
  <c r="W14" i="4" s="1"/>
  <c r="V14" i="7"/>
  <c r="W14" i="7" s="1"/>
  <c r="X14" i="7" s="1"/>
  <c r="V12" i="4"/>
  <c r="W12" i="4" s="1"/>
  <c r="V12" i="7"/>
  <c r="W12" i="7" s="1"/>
  <c r="V18" i="4"/>
  <c r="W18" i="4" s="1"/>
  <c r="V18" i="7"/>
  <c r="W18" i="7" s="1"/>
  <c r="D15" i="6"/>
  <c r="B15" i="6" s="1"/>
  <c r="J11" i="4"/>
  <c r="D18" i="6"/>
  <c r="B18" i="6" s="1"/>
  <c r="J14" i="4"/>
  <c r="D19" i="6"/>
  <c r="B19" i="6" s="1"/>
  <c r="J15" i="4"/>
  <c r="D14" i="6"/>
  <c r="J10" i="4"/>
  <c r="D21" i="6"/>
  <c r="B21" i="6" s="1"/>
  <c r="J17" i="4"/>
  <c r="D22" i="6"/>
  <c r="B22" i="6" s="1"/>
  <c r="J18" i="4"/>
  <c r="D17" i="6"/>
  <c r="B17" i="6" s="1"/>
  <c r="J13" i="4"/>
  <c r="D16" i="6"/>
  <c r="B16" i="6" s="1"/>
  <c r="J12" i="4"/>
  <c r="H14" i="6"/>
  <c r="E29" i="6"/>
  <c r="H25" i="6"/>
  <c r="V21" i="8" s="1"/>
  <c r="W21" i="8" s="1"/>
  <c r="X21" i="8" s="1"/>
  <c r="W25" i="8" l="1"/>
  <c r="V21" i="4"/>
  <c r="W21" i="4" s="1"/>
  <c r="W25" i="4" s="1"/>
  <c r="V21" i="7"/>
  <c r="W21" i="7" s="1"/>
  <c r="X21" i="7" s="1"/>
  <c r="X12" i="7"/>
  <c r="D24" i="6"/>
  <c r="B24" i="6" s="1"/>
  <c r="J20" i="4"/>
  <c r="D20" i="6"/>
  <c r="B20" i="6" s="1"/>
  <c r="J16" i="4"/>
  <c r="B14" i="6"/>
  <c r="H27" i="6"/>
  <c r="W25" i="7" l="1"/>
  <c r="D27" i="6"/>
  <c r="B27" i="6" s="1"/>
  <c r="J23" i="4"/>
  <c r="D26" i="6"/>
  <c r="B26" i="6" s="1"/>
  <c r="J22" i="4"/>
  <c r="D23" i="6"/>
  <c r="J19" i="4"/>
  <c r="F25" i="4"/>
  <c r="H26" i="6"/>
  <c r="F29" i="6"/>
  <c r="J25" i="4" l="1"/>
  <c r="L23" i="4" s="1"/>
  <c r="Q23" i="4" s="1"/>
  <c r="B23" i="6"/>
  <c r="D29" i="6"/>
  <c r="L20" i="4" l="1"/>
  <c r="Q20" i="4" s="1"/>
  <c r="L21" i="4"/>
  <c r="Q21" i="4" s="1"/>
  <c r="L10" i="4"/>
  <c r="L15" i="4"/>
  <c r="Q15" i="4" s="1"/>
  <c r="L18" i="4"/>
  <c r="Q18" i="4" s="1"/>
  <c r="L13" i="4"/>
  <c r="Q13" i="4" s="1"/>
  <c r="L11" i="4"/>
  <c r="Q11" i="4" s="1"/>
  <c r="L17" i="4"/>
  <c r="Q17" i="4" s="1"/>
  <c r="L14" i="4"/>
  <c r="Q14" i="4" s="1"/>
  <c r="L12" i="4"/>
  <c r="Q12" i="4" s="1"/>
  <c r="L16" i="4"/>
  <c r="Q16" i="4" s="1"/>
  <c r="L19" i="4"/>
  <c r="Q19" i="4" s="1"/>
  <c r="L22" i="4"/>
  <c r="Q22" i="4" s="1"/>
  <c r="L25" i="4" l="1"/>
  <c r="Q10" i="4"/>
  <c r="H19" i="5" l="1"/>
  <c r="V15" i="1" s="1"/>
  <c r="W15" i="1" s="1"/>
  <c r="H15" i="5"/>
  <c r="H21" i="5"/>
  <c r="V17" i="1" s="1"/>
  <c r="W17" i="1" s="1"/>
  <c r="H17" i="5"/>
  <c r="H16" i="5"/>
  <c r="V12" i="1" s="1"/>
  <c r="W12" i="1" s="1"/>
  <c r="H18" i="5"/>
  <c r="V14" i="1" s="1"/>
  <c r="W14" i="1" s="1"/>
  <c r="D19" i="5" l="1"/>
  <c r="B19" i="5" s="1"/>
  <c r="J15" i="1"/>
  <c r="D14" i="5"/>
  <c r="J10" i="1"/>
  <c r="H22" i="5"/>
  <c r="V18" i="1" s="1"/>
  <c r="W18" i="1" s="1"/>
  <c r="H27" i="5"/>
  <c r="H14" i="5"/>
  <c r="H26" i="5"/>
  <c r="D17" i="5" l="1"/>
  <c r="B17" i="5" s="1"/>
  <c r="J13" i="1"/>
  <c r="D25" i="5"/>
  <c r="B25" i="5" s="1"/>
  <c r="J21" i="1"/>
  <c r="D20" i="5"/>
  <c r="B20" i="5" s="1"/>
  <c r="J16" i="1"/>
  <c r="D18" i="5"/>
  <c r="B18" i="5" s="1"/>
  <c r="J14" i="1"/>
  <c r="D15" i="5"/>
  <c r="B15" i="5" s="1"/>
  <c r="J11" i="1"/>
  <c r="D16" i="5"/>
  <c r="B16" i="5" s="1"/>
  <c r="J12" i="1"/>
  <c r="D21" i="5"/>
  <c r="B21" i="5" s="1"/>
  <c r="J17" i="1"/>
  <c r="D24" i="5"/>
  <c r="B24" i="5" s="1"/>
  <c r="J20" i="1"/>
  <c r="F29" i="5"/>
  <c r="E29" i="5"/>
  <c r="H25" i="5"/>
  <c r="V21" i="1" s="1"/>
  <c r="W21" i="1" s="1"/>
  <c r="W25" i="1" s="1"/>
  <c r="B14" i="5"/>
  <c r="D22" i="5" l="1"/>
  <c r="B22" i="5" s="1"/>
  <c r="J18" i="1"/>
  <c r="F25" i="1"/>
  <c r="D23" i="5"/>
  <c r="B23" i="5" s="1"/>
  <c r="J19" i="1"/>
  <c r="D27" i="5"/>
  <c r="B27" i="5" s="1"/>
  <c r="J23" i="1"/>
  <c r="D26" i="5"/>
  <c r="B26" i="5" s="1"/>
  <c r="J22" i="1"/>
  <c r="J25" i="1" l="1"/>
  <c r="D29" i="5"/>
  <c r="L22" i="1" l="1"/>
  <c r="Q22" i="1" s="1"/>
  <c r="S22" i="1" s="1"/>
  <c r="T22" i="1" s="1"/>
  <c r="Z17" i="1"/>
  <c r="AA17" i="1"/>
  <c r="L21" i="1"/>
  <c r="Q21" i="1" s="1"/>
  <c r="L14" i="1"/>
  <c r="Q14" i="1" s="1"/>
  <c r="L18" i="1"/>
  <c r="Q18" i="1" s="1"/>
  <c r="L12" i="1"/>
  <c r="Q12" i="1" s="1"/>
  <c r="L11" i="1"/>
  <c r="Q11" i="1" s="1"/>
  <c r="L10" i="1"/>
  <c r="Q10" i="1" s="1"/>
  <c r="S10" i="1" s="1"/>
  <c r="L23" i="1"/>
  <c r="Q23" i="1" s="1"/>
  <c r="L13" i="1"/>
  <c r="Q13" i="1" s="1"/>
  <c r="L16" i="1"/>
  <c r="Q16" i="1" s="1"/>
  <c r="AA18" i="1"/>
  <c r="L19" i="1"/>
  <c r="Q19" i="1" s="1"/>
  <c r="L20" i="1"/>
  <c r="Q20" i="1" s="1"/>
  <c r="L17" i="1"/>
  <c r="Q17" i="1" s="1"/>
  <c r="L15" i="1"/>
  <c r="Q15" i="1" s="1"/>
  <c r="Z18" i="1"/>
  <c r="Y22" i="1" l="1"/>
  <c r="S14" i="1"/>
  <c r="T14" i="1" s="1"/>
  <c r="S16" i="1"/>
  <c r="T16" i="1" s="1"/>
  <c r="S11" i="1"/>
  <c r="T11" i="1" s="1"/>
  <c r="S21" i="1"/>
  <c r="T21" i="1" s="1"/>
  <c r="S13" i="1"/>
  <c r="T13" i="1" s="1"/>
  <c r="S12" i="1"/>
  <c r="T12" i="1" s="1"/>
  <c r="S15" i="1"/>
  <c r="T15" i="1" s="1"/>
  <c r="S17" i="1"/>
  <c r="S20" i="1"/>
  <c r="T20" i="1" s="1"/>
  <c r="S19" i="1"/>
  <c r="T19" i="1" s="1"/>
  <c r="S23" i="1"/>
  <c r="T23" i="1" s="1"/>
  <c r="S18" i="1"/>
  <c r="T18" i="1" s="1"/>
  <c r="L25" i="1"/>
  <c r="T10" i="1"/>
  <c r="X12" i="1" l="1"/>
  <c r="X16" i="1"/>
  <c r="X20" i="1"/>
  <c r="Y13" i="1"/>
  <c r="X14" i="1"/>
  <c r="Y10" i="1"/>
  <c r="X21" i="1"/>
  <c r="X19" i="1"/>
  <c r="Y23" i="1"/>
  <c r="X15" i="1"/>
  <c r="Y11" i="1"/>
  <c r="S25" i="1"/>
  <c r="T17" i="1"/>
  <c r="R15" i="4" l="1"/>
  <c r="R16" i="4"/>
  <c r="R21" i="4"/>
  <c r="R19" i="4"/>
  <c r="R11" i="4"/>
  <c r="R20" i="4"/>
  <c r="R22" i="4"/>
  <c r="R13" i="4"/>
  <c r="R14" i="4"/>
  <c r="R23" i="4"/>
  <c r="R12" i="4"/>
  <c r="R18" i="4"/>
  <c r="R17" i="4"/>
  <c r="R10" i="4"/>
  <c r="AA17" i="4"/>
  <c r="AA18" i="4"/>
  <c r="Z18" i="4"/>
  <c r="S23" i="4"/>
  <c r="T23" i="4" s="1"/>
  <c r="Y23" i="4" s="1"/>
  <c r="Z17" i="4"/>
  <c r="S13" i="4"/>
  <c r="T13" i="4" s="1"/>
  <c r="Y13" i="4" s="1"/>
  <c r="S18" i="4"/>
  <c r="S15" i="4"/>
  <c r="S21" i="4"/>
  <c r="T21" i="4" s="1"/>
  <c r="X21" i="4" s="1"/>
  <c r="S20" i="4"/>
  <c r="S16" i="4"/>
  <c r="S22" i="4"/>
  <c r="S19" i="4"/>
  <c r="S11" i="4"/>
  <c r="T11" i="4" s="1"/>
  <c r="Y11" i="4" s="1"/>
  <c r="S12" i="4"/>
  <c r="S14" i="4"/>
  <c r="S17" i="4"/>
  <c r="T17" i="4" s="1"/>
  <c r="S10" i="4"/>
  <c r="S25" i="4" l="1"/>
  <c r="T20" i="4"/>
  <c r="X20" i="4" s="1"/>
  <c r="T16" i="4"/>
  <c r="X16" i="4" s="1"/>
  <c r="T12" i="4"/>
  <c r="X12" i="4" s="1"/>
  <c r="T19" i="4"/>
  <c r="X19" i="4" s="1"/>
  <c r="T14" i="4"/>
  <c r="X14" i="4" s="1"/>
  <c r="T22" i="4"/>
  <c r="Y22" i="4" s="1"/>
  <c r="T15" i="4"/>
  <c r="X15" i="4" s="1"/>
  <c r="R25" i="4"/>
  <c r="T10" i="4"/>
  <c r="Y10" i="4" s="1"/>
  <c r="T18" i="4"/>
</calcChain>
</file>

<file path=xl/sharedStrings.xml><?xml version="1.0" encoding="utf-8"?>
<sst xmlns="http://schemas.openxmlformats.org/spreadsheetml/2006/main" count="923" uniqueCount="126">
  <si>
    <t>SL-1</t>
  </si>
  <si>
    <t>OL-1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</si>
  <si>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</si>
  <si>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</si>
  <si>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</si>
  <si>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</si>
  <si>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</si>
  <si>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</si>
  <si>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</si>
  <si>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</si>
  <si>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</si>
  <si>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</si>
  <si>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AVG 12CP</t>
  </si>
  <si>
    <t>Projected</t>
  </si>
  <si>
    <t>Demand</t>
  </si>
  <si>
    <t>Energy</t>
  </si>
  <si>
    <t>Percentage</t>
  </si>
  <si>
    <t>Total</t>
  </si>
  <si>
    <t>Billing KW</t>
  </si>
  <si>
    <t xml:space="preserve">Projected </t>
  </si>
  <si>
    <t>Capacity</t>
  </si>
  <si>
    <t>Rate Schedule</t>
  </si>
  <si>
    <t>Load Factor</t>
  </si>
  <si>
    <t>Sales at</t>
  </si>
  <si>
    <t>AVG 12 CP</t>
  </si>
  <si>
    <t>Loss</t>
  </si>
  <si>
    <t>of Sales at</t>
  </si>
  <si>
    <t>of Demand at</t>
  </si>
  <si>
    <t>Related Cost</t>
  </si>
  <si>
    <t>Billed KW</t>
  </si>
  <si>
    <t>Recovery</t>
  </si>
  <si>
    <t>at Meter</t>
  </si>
  <si>
    <t>Meter</t>
  </si>
  <si>
    <t>Expansion</t>
  </si>
  <si>
    <t>Generation</t>
  </si>
  <si>
    <t>at Generation</t>
  </si>
  <si>
    <t>Costs</t>
  </si>
  <si>
    <t>Factor</t>
  </si>
  <si>
    <t>(%)</t>
  </si>
  <si>
    <t>(kwh)</t>
  </si>
  <si>
    <t>(kW)</t>
  </si>
  <si>
    <t>($)</t>
  </si>
  <si>
    <t>(kw)</t>
  </si>
  <si>
    <t>($/kw)</t>
  </si>
  <si>
    <t>($/kwh)</t>
  </si>
  <si>
    <t>RS(T)-1</t>
  </si>
  <si>
    <t>RS1/RST1</t>
  </si>
  <si>
    <t>-</t>
  </si>
  <si>
    <t>GS(T)-1</t>
  </si>
  <si>
    <t>GS1/GST1</t>
  </si>
  <si>
    <t>GS1/GST1/WIES1</t>
  </si>
  <si>
    <t>GSD(T)-1</t>
  </si>
  <si>
    <t>GSD1/GSDT1/HLFT1 (21-499 kW)</t>
  </si>
  <si>
    <t>OS-2</t>
  </si>
  <si>
    <t>OS2</t>
  </si>
  <si>
    <t>GSLD(T)-1</t>
  </si>
  <si>
    <t>GSLD1/GSLDT1/CS1/CST1/HLFT2 (500-1,999 kW)</t>
  </si>
  <si>
    <t>GSLD(T)-2</t>
  </si>
  <si>
    <t>GSLD2/GSLDT2/CS2/CST2/HLFT3(2,000+ kW)</t>
  </si>
  <si>
    <t>GSLD2/GSLDT2/CS2/CST2/HLFT3 (2,000+ kW)</t>
  </si>
  <si>
    <t>GSLD(T)-3</t>
  </si>
  <si>
    <t>GSLD3/GSLDT3/CS3/CST3</t>
  </si>
  <si>
    <t>SST-TST</t>
  </si>
  <si>
    <t>SST-DST</t>
  </si>
  <si>
    <t>CILC-1D</t>
  </si>
  <si>
    <t>CILC D/CILC G</t>
  </si>
  <si>
    <t>CILC-1T</t>
  </si>
  <si>
    <t>CILC T</t>
  </si>
  <si>
    <t>MET</t>
  </si>
  <si>
    <t>OL1/SL1/PL1</t>
  </si>
  <si>
    <t>SL2, GSCU1</t>
  </si>
  <si>
    <t>SL2/GSCU1</t>
  </si>
  <si>
    <t>TOTAL</t>
  </si>
  <si>
    <t>CILC-1G</t>
  </si>
  <si>
    <t>GSCU-1</t>
  </si>
  <si>
    <t>SL-2</t>
  </si>
  <si>
    <t>SST1T/ISST1T</t>
  </si>
  <si>
    <t>SST1D1/SST1D2/SST1D3/ISST1D</t>
  </si>
  <si>
    <t>GSD(T)-1 / HLFT-1 / SDTR-1A &amp; 1B</t>
  </si>
  <si>
    <t>GSLD(T)-1 / CS(T)-1 / HLFT-2 / SDTR-2A &amp; 2B</t>
  </si>
  <si>
    <t>GSLD(T)-2 / CS(T)-2 / HLFT-3 / SDTR-3A &amp; 3B</t>
  </si>
  <si>
    <t>GSLD(T)-3 / CS(T)-3</t>
  </si>
  <si>
    <t>SST-1T</t>
  </si>
  <si>
    <t>SST-1D</t>
  </si>
  <si>
    <t>CILC-1D/CILC-1G</t>
  </si>
  <si>
    <t>OL-1 / SL-1</t>
  </si>
  <si>
    <t>SL-2 / GSCU-1</t>
  </si>
  <si>
    <t>RATE LOAD RESEARCH INPUT</t>
  </si>
  <si>
    <t>(Utilized for calculation of recovery factors for the capacity, environmental, and conservation clauses)</t>
  </si>
  <si>
    <t>RATE</t>
  </si>
  <si>
    <t>ANNUAL</t>
  </si>
  <si>
    <t>LOAD FACTOR</t>
  </si>
  <si>
    <t>CLASS</t>
  </si>
  <si>
    <t>SALES</t>
  </si>
  <si>
    <t>(KW) (3)</t>
  </si>
  <si>
    <t>AVG 12 GCP (4)</t>
  </si>
  <si>
    <t xml:space="preserve">AVG 12 NCP (5) </t>
  </si>
  <si>
    <t xml:space="preserve">AVG 12 NCP on Peak (6) </t>
  </si>
  <si>
    <t>LF % (7)</t>
  </si>
  <si>
    <t>% (1)</t>
  </si>
  <si>
    <t>(KWH) (2)</t>
  </si>
  <si>
    <t>(kW) (2)</t>
  </si>
  <si>
    <t>Notes:</t>
  </si>
  <si>
    <t xml:space="preserve">     (1)  AVG 12 CP LF = (KWH / 8760 / AVG 12 CP) * 100</t>
  </si>
  <si>
    <t xml:space="preserve">     (2)  Source:  2010 Rate Case</t>
  </si>
  <si>
    <t xml:space="preserve">     (3)  Source:  2010 Rate Case</t>
  </si>
  <si>
    <t xml:space="preserve">     (4)  AVG 12 GCP was used for MET.</t>
  </si>
  <si>
    <t xml:space="preserve">     (5)  AVG 12 NCP was used for RS(T)-1, GS(T)-1, GSD(T)-1, GSLD(T)-1, GSLD(T)-2, SST-1T, SST-1D, OS-2, OL-1/SL-1, SL-2/GSCU-1</t>
  </si>
  <si>
    <t xml:space="preserve">     (6) AVG 12 On Peak NCP was used for CILC-1D/CILC-1G, CILC-1T and GSLD(T)-3 </t>
  </si>
  <si>
    <t xml:space="preserve">     (7)  LF% = (KWH / 8760 / AVG 12 NCP or AVG 12 On Peak NCP or AVG 12 GCP as applicable (refer to note 5)) * 100</t>
  </si>
  <si>
    <t xml:space="preserve">     (8)  Totals may not add due to rounding</t>
  </si>
  <si>
    <t>RDC</t>
  </si>
  <si>
    <t>SDD</t>
  </si>
  <si>
    <t>January 2018 through December 2018</t>
  </si>
  <si>
    <t>Can come from Load FC by Rate Class - Individual Rate Class Tabs</t>
  </si>
  <si>
    <t>Must come from E-10</t>
  </si>
  <si>
    <t>CILC-1D &amp; CILC-1G</t>
  </si>
  <si>
    <t>OL-1 &amp; SL-1</t>
  </si>
  <si>
    <t>GSCU-1&amp; SL-2</t>
  </si>
  <si>
    <t>OPC 015236</t>
  </si>
  <si>
    <t>FPL RC-16</t>
  </si>
  <si>
    <t>OPC 015237</t>
  </si>
  <si>
    <t>OPC 015238</t>
  </si>
  <si>
    <t>OPC 015239</t>
  </si>
  <si>
    <t>OPC 015240</t>
  </si>
  <si>
    <t>OPC 015241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</si>
</sst>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General_)"/>
    <numFmt numFmtId="165" formatCode="0.000%"/>
    <numFmt numFmtId="166" formatCode="0.00000%"/>
    <numFmt numFmtId="167" formatCode="0.00000_)"/>
    <numFmt numFmtId="168" formatCode="0.00_)"/>
    <numFmt numFmtId="169" formatCode="_(* #,##0_);_(* \(#,##0\);_(* &quot;-&quot;??_);_(@_)"/>
    <numFmt numFmtId="170" formatCode="0.0000%"/>
    <numFmt numFmtId="171" formatCode="0.00000000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Helv"/>
    </font>
    <font>
      <sz val="10"/>
      <name val="MS Sans Serif"/>
      <family val="2"/>
    </font>
    <font>
      <sz val="10"/>
      <name val="Arial"/>
      <family val="2"/>
    </font>
    <font>
      <b/>
      <sz val="16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11"/>
      <color indexed="8"/>
      <name val="Calibri"/>
      <family val="2"/>
    </font>
    <font>
      <b/>
      <sz val="10"/>
      <color theme="3" tint="-0.499984740745262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sz val="10"/>
      <name val="Times New Roman"/>
      <family val="1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9">
    <xf numFmtId="0" fontId="0" fillId="0" borderId="0"/>
    <xf numFmtId="43" fontId="1" fillId="0" borderId="0" applyFont="0" applyFill="0" applyBorder="0" applyAlignment="0" applyProtection="0"/>
    <xf numFmtId="164" fontId="2" fillId="0" borderId="0"/>
    <xf numFmtId="0" fontId="3" fillId="0" borderId="0"/>
    <xf numFmtId="9" fontId="1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8" fillId="0" borderId="0"/>
    <xf numFmtId="0" fontId="4" fillId="0" borderId="0"/>
    <xf numFmtId="0" fontId="4" fillId="0" borderId="0"/>
    <xf numFmtId="0" fontId="1" fillId="0" borderId="0"/>
    <xf numFmtId="0" fontId="9" fillId="3" borderId="1" applyNumberFormat="0" applyFont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4">
    <xf numFmtId="0" fontId="0" fillId="0" borderId="0" xfId="0"/>
    <xf numFmtId="0" fontId="4" fillId="0" borderId="0" xfId="5" applyFont="1"/>
    <xf numFmtId="0" fontId="4" fillId="0" borderId="0" xfId="5" quotePrefix="1" applyFont="1" applyAlignment="1">
      <alignment horizontal="left"/>
    </xf>
    <xf numFmtId="0" fontId="4" fillId="0" borderId="0" xfId="5"/>
    <xf numFmtId="0" fontId="5" fillId="0" borderId="0" xfId="5" applyFont="1"/>
    <xf numFmtId="165" fontId="4" fillId="0" borderId="0" xfId="6" applyNumberFormat="1" applyFont="1"/>
    <xf numFmtId="169" fontId="4" fillId="0" borderId="0" xfId="7" applyNumberFormat="1"/>
    <xf numFmtId="169" fontId="4" fillId="0" borderId="0" xfId="7" applyNumberFormat="1" applyFont="1"/>
    <xf numFmtId="0" fontId="7" fillId="0" borderId="0" xfId="5" applyFont="1" applyAlignment="1">
      <alignment horizontal="center"/>
    </xf>
    <xf numFmtId="165" fontId="7" fillId="0" borderId="0" xfId="6" applyNumberFormat="1" applyFont="1" applyAlignment="1">
      <alignment horizontal="center"/>
    </xf>
    <xf numFmtId="169" fontId="7" fillId="0" borderId="0" xfId="7" applyNumberFormat="1" applyFont="1" applyAlignment="1">
      <alignment horizontal="center"/>
    </xf>
    <xf numFmtId="169" fontId="7" fillId="0" borderId="0" xfId="7" applyNumberFormat="1" applyFont="1"/>
    <xf numFmtId="169" fontId="7" fillId="0" borderId="0" xfId="7" applyNumberFormat="1" applyFont="1" applyBorder="1" applyAlignment="1">
      <alignment horizontal="center"/>
    </xf>
    <xf numFmtId="169" fontId="7" fillId="0" borderId="0" xfId="7" applyNumberFormat="1" applyFont="1" applyAlignment="1">
      <alignment horizontal="center" wrapText="1"/>
    </xf>
    <xf numFmtId="169" fontId="7" fillId="0" borderId="0" xfId="7" quotePrefix="1" applyNumberFormat="1" applyFont="1" applyAlignment="1">
      <alignment horizontal="center"/>
    </xf>
    <xf numFmtId="0" fontId="7" fillId="0" borderId="2" xfId="5" applyFont="1" applyBorder="1" applyAlignment="1">
      <alignment horizontal="center"/>
    </xf>
    <xf numFmtId="165" fontId="7" fillId="0" borderId="2" xfId="6" applyNumberFormat="1" applyFont="1" applyBorder="1" applyAlignment="1">
      <alignment horizontal="center"/>
    </xf>
    <xf numFmtId="169" fontId="7" fillId="0" borderId="2" xfId="7" quotePrefix="1" applyNumberFormat="1" applyFont="1" applyBorder="1" applyAlignment="1">
      <alignment horizontal="center"/>
    </xf>
    <xf numFmtId="169" fontId="7" fillId="0" borderId="2" xfId="7" applyNumberFormat="1" applyFont="1" applyBorder="1" applyAlignment="1">
      <alignment horizontal="center"/>
    </xf>
    <xf numFmtId="165" fontId="4" fillId="0" borderId="0" xfId="6" applyNumberFormat="1" applyFont="1" applyBorder="1"/>
    <xf numFmtId="166" fontId="4" fillId="0" borderId="0" xfId="6" applyNumberFormat="1" applyFont="1" applyBorder="1"/>
    <xf numFmtId="169" fontId="4" fillId="0" borderId="3" xfId="7" applyNumberFormat="1" applyBorder="1"/>
    <xf numFmtId="169" fontId="10" fillId="0" borderId="0" xfId="7" applyNumberFormat="1" applyFont="1"/>
    <xf numFmtId="0" fontId="11" fillId="0" borderId="0" xfId="5" quotePrefix="1" applyFont="1" applyAlignment="1">
      <alignment horizontal="left"/>
    </xf>
    <xf numFmtId="165" fontId="11" fillId="0" borderId="0" xfId="6" applyNumberFormat="1" applyFont="1" applyBorder="1"/>
    <xf numFmtId="169" fontId="11" fillId="0" borderId="0" xfId="7" applyNumberFormat="1" applyFont="1"/>
    <xf numFmtId="169" fontId="12" fillId="0" borderId="0" xfId="7" applyNumberFormat="1" applyFont="1"/>
    <xf numFmtId="166" fontId="11" fillId="0" borderId="0" xfId="6" applyNumberFormat="1" applyFont="1" applyBorder="1"/>
    <xf numFmtId="0" fontId="11" fillId="0" borderId="0" xfId="5" applyFont="1"/>
    <xf numFmtId="169" fontId="4" fillId="2" borderId="0" xfId="7" applyNumberFormat="1" applyFill="1"/>
    <xf numFmtId="169" fontId="4" fillId="2" borderId="0" xfId="7" applyNumberFormat="1" applyFont="1" applyFill="1"/>
    <xf numFmtId="3" fontId="13" fillId="0" borderId="0" xfId="2" applyNumberFormat="1" applyFont="1" applyProtection="1"/>
    <xf numFmtId="169" fontId="12" fillId="0" borderId="0" xfId="7" applyNumberFormat="1" applyFont="1" applyFill="1"/>
    <xf numFmtId="166" fontId="11" fillId="0" borderId="0" xfId="6" applyNumberFormat="1" applyFont="1" applyFill="1" applyBorder="1"/>
    <xf numFmtId="169" fontId="10" fillId="0" borderId="0" xfId="7" applyNumberFormat="1" applyFont="1" applyFill="1"/>
    <xf numFmtId="166" fontId="4" fillId="0" borderId="0" xfId="6" applyNumberFormat="1" applyFont="1" applyFill="1" applyBorder="1"/>
    <xf numFmtId="164" fontId="14" fillId="0" borderId="0" xfId="2" applyFont="1" applyFill="1"/>
    <xf numFmtId="164" fontId="14" fillId="0" borderId="0" xfId="2" applyNumberFormat="1" applyFont="1" applyFill="1" applyAlignment="1" applyProtection="1">
      <alignment horizontal="center"/>
    </xf>
    <xf numFmtId="164" fontId="14" fillId="0" borderId="0" xfId="2" applyNumberFormat="1" applyFont="1" applyFill="1" applyAlignment="1" applyProtection="1">
      <alignment horizontal="left"/>
    </xf>
    <xf numFmtId="9" fontId="14" fillId="0" borderId="0" xfId="4" applyFont="1" applyFill="1" applyAlignment="1">
      <alignment horizontal="center"/>
    </xf>
    <xf numFmtId="164" fontId="14" fillId="0" borderId="0" xfId="2" applyNumberFormat="1" applyFont="1" applyFill="1" applyProtection="1"/>
    <xf numFmtId="166" fontId="14" fillId="0" borderId="0" xfId="2" applyNumberFormat="1" applyFont="1" applyFill="1" applyProtection="1"/>
    <xf numFmtId="164" fontId="16" fillId="0" borderId="0" xfId="2" applyNumberFormat="1" applyFont="1" applyFill="1" applyAlignment="1" applyProtection="1">
      <alignment horizontal="center"/>
    </xf>
    <xf numFmtId="167" fontId="14" fillId="0" borderId="0" xfId="2" applyNumberFormat="1" applyFont="1" applyFill="1" applyAlignment="1" applyProtection="1">
      <alignment horizontal="center"/>
    </xf>
    <xf numFmtId="168" fontId="14" fillId="0" borderId="0" xfId="2" applyNumberFormat="1" applyFont="1" applyFill="1" applyAlignment="1" applyProtection="1">
      <alignment horizontal="center"/>
    </xf>
    <xf numFmtId="165" fontId="16" fillId="0" borderId="0" xfId="3" applyNumberFormat="1" applyFont="1" applyFill="1" applyProtection="1"/>
    <xf numFmtId="43" fontId="16" fillId="0" borderId="0" xfId="1" applyFont="1" applyFill="1" applyProtection="1"/>
    <xf numFmtId="5" fontId="14" fillId="0" borderId="0" xfId="0" applyNumberFormat="1" applyFont="1" applyFill="1"/>
    <xf numFmtId="168" fontId="14" fillId="0" borderId="0" xfId="2" applyNumberFormat="1" applyFont="1" applyFill="1" applyProtection="1"/>
    <xf numFmtId="164" fontId="16" fillId="0" borderId="0" xfId="2" applyFont="1" applyFill="1" applyAlignment="1">
      <alignment horizontal="center"/>
    </xf>
    <xf numFmtId="167" fontId="14" fillId="0" borderId="0" xfId="2" applyNumberFormat="1" applyFont="1" applyFill="1" applyProtection="1"/>
    <xf numFmtId="0" fontId="15" fillId="0" borderId="0" xfId="0" applyFont="1" applyFill="1"/>
    <xf numFmtId="165" fontId="14" fillId="0" borderId="0" xfId="0" applyNumberFormat="1" applyFont="1" applyFill="1" applyProtection="1"/>
    <xf numFmtId="3" fontId="14" fillId="0" borderId="0" xfId="2" applyNumberFormat="1" applyFont="1" applyFill="1" applyProtection="1"/>
    <xf numFmtId="37" fontId="14" fillId="0" borderId="0" xfId="0" applyNumberFormat="1" applyFont="1" applyFill="1" applyProtection="1"/>
    <xf numFmtId="171" fontId="14" fillId="0" borderId="0" xfId="2" applyNumberFormat="1" applyFont="1" applyFill="1" applyProtection="1"/>
    <xf numFmtId="37" fontId="14" fillId="0" borderId="0" xfId="2" applyNumberFormat="1" applyFont="1" applyFill="1" applyProtection="1"/>
    <xf numFmtId="170" fontId="14" fillId="0" borderId="0" xfId="2" applyNumberFormat="1" applyFont="1" applyFill="1" applyProtection="1"/>
    <xf numFmtId="0" fontId="14" fillId="0" borderId="0" xfId="5" applyFont="1" applyFill="1"/>
    <xf numFmtId="5" fontId="14" fillId="0" borderId="0" xfId="2" applyNumberFormat="1" applyFont="1" applyFill="1" applyProtection="1"/>
    <xf numFmtId="0" fontId="14" fillId="0" borderId="0" xfId="5" quotePrefix="1" applyFont="1" applyFill="1" applyAlignment="1">
      <alignment horizontal="left"/>
    </xf>
    <xf numFmtId="38" fontId="14" fillId="0" borderId="0" xfId="2" applyNumberFormat="1" applyFont="1" applyFill="1" applyProtection="1"/>
    <xf numFmtId="165" fontId="15" fillId="0" borderId="0" xfId="4" applyNumberFormat="1" applyFont="1" applyFill="1"/>
    <xf numFmtId="170" fontId="14" fillId="0" borderId="0" xfId="4" applyNumberFormat="1" applyFont="1" applyFill="1"/>
    <xf numFmtId="10" fontId="14" fillId="0" borderId="0" xfId="2" applyNumberFormat="1" applyFont="1" applyFill="1" applyProtection="1"/>
    <xf numFmtId="170" fontId="15" fillId="0" borderId="0" xfId="4" applyNumberFormat="1" applyFont="1" applyFill="1"/>
    <xf numFmtId="9" fontId="15" fillId="0" borderId="0" xfId="4" applyFont="1" applyFill="1"/>
    <xf numFmtId="5" fontId="15" fillId="0" borderId="0" xfId="0" applyNumberFormat="1" applyFont="1" applyFill="1"/>
    <xf numFmtId="9" fontId="16" fillId="0" borderId="0" xfId="2" applyNumberFormat="1" applyFont="1" applyFill="1" applyAlignment="1" applyProtection="1">
      <alignment horizontal="center"/>
    </xf>
    <xf numFmtId="44" fontId="14" fillId="4" borderId="0" xfId="2" applyNumberFormat="1" applyFont="1" applyFill="1" applyProtection="1"/>
    <xf numFmtId="0" fontId="5" fillId="0" borderId="0" xfId="5" applyFont="1" applyAlignment="1">
      <alignment horizontal="center"/>
    </xf>
    <xf numFmtId="0" fontId="6" fillId="0" borderId="0" xfId="5" applyFont="1" applyAlignment="1">
      <alignment horizontal="center"/>
    </xf>
    <xf numFmtId="169" fontId="7" fillId="0" borderId="0" xfId="7" applyNumberFormat="1" applyFont="1" applyAlignment="1">
      <alignment horizontal="center"/>
    </xf>
    <xf numFmtId="0" fontId="17" fillId="0" borderId="0" xfId="0" applyFont="1" applyFill="1"/>
  </cellXfs>
  <cellStyles count="19">
    <cellStyle name="Comma" xfId="1" builtinId="3"/>
    <cellStyle name="Comma 2" xfId="8"/>
    <cellStyle name="Comma 3" xfId="9"/>
    <cellStyle name="Comma 4" xfId="7"/>
    <cellStyle name="Normal" xfId="0" builtinId="0"/>
    <cellStyle name="Normal 2" xfId="10"/>
    <cellStyle name="Normal 3" xfId="11"/>
    <cellStyle name="Normal 4" xfId="12"/>
    <cellStyle name="Normal 4 2" xfId="13"/>
    <cellStyle name="Normal 5" xfId="14"/>
    <cellStyle name="Normal 6" xfId="5"/>
    <cellStyle name="Normal_Capacity factor 2009 projected 06 03 2008" xfId="3"/>
    <cellStyle name="Normal_D2CPO495" xfId="2"/>
    <cellStyle name="Note 2" xfId="15"/>
    <cellStyle name="Percent" xfId="4" builtinId="5"/>
    <cellStyle name="Percent 2" xfId="16"/>
    <cellStyle name="Percent 3" xfId="17"/>
    <cellStyle name="Percent 4" xfId="18"/>
    <cellStyle name="Percent 5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externalLink" Target="externalLinks/externalLink7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4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AD/CLAUSES/2016%20RATE%20CASE/TOU%20Rates/Files%20Submitted%20to%20Rates/Load%20Fcst%20by%20Rate%20Class%2001-22-16%20for%20Clause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RAD/CLAUSES/2016%20RATE%20CASE/TOU%20Rates/Files%20Submitted%20to%20Rates/RC2016%20-%20Proposed%20Scenario_12CP%20and%2025%25%202016-02-04%20LLS%202017%20TEST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RAD/CLAUSES/2016%20RATE%20CASE/TOU%20Rates/Files%20Submitted%20to%20Rates/Detailed%20COSID%20NOI%20through%202020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XD0MJK\AppData\Local\Microsoft\Windows\Temporary%20Internet%20Files\Content.Outlook\UNKM8LNX\2018%20E-10%20with%20Calculations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RAD/CLAUSES/2016%20RATE%20CASE/TOU%20Rates/Files%20Submitted%20to%20Rates/RC2016%20-%20Proposed%20Scenario_12CP%20and%2025%25%202016-02-04%20LLS%202018%20SUB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RAD/CLAUSES/2016%20RATE%20CASE/TOU%20Rates/Files%20Submitted%20to%20Rates/Sales%20by%20Rate%20Class%202019%20and%202020%20DAS0NKM%20February%2018%202016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RAD/CLAUSES/FILINGS/2016%20FILINGS/Monthly%20Bill%20Calculation%20Report/January%204th%20fuel%20curve/TOU%20Rates/Check/Sales%20by%20Rate%20Class%202019%20and%202020%20DAS0NKM%20February%2018%20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8 E-11"/>
      <sheetName val="2017 E-11"/>
      <sheetName val="2016 E-11"/>
      <sheetName val="SUMMARY"/>
      <sheetName val="2018 SUBSEQUENT"/>
      <sheetName val="2017 TEST"/>
      <sheetName val="2016 PRIOR"/>
      <sheetName val="CP FCST"/>
      <sheetName val="GNCP FCST"/>
      <sheetName val="NCP FCST"/>
      <sheetName val="KWH FCST"/>
      <sheetName val="CP Validation"/>
      <sheetName val="2016 CP (FNG)"/>
      <sheetName val="2017 CP (FNG)"/>
      <sheetName val="2018 CP (FNG)"/>
      <sheetName val="CILC-1D"/>
      <sheetName val="CILC-1G"/>
      <sheetName val="CILC-1D &amp; CILC-1G"/>
      <sheetName val="CILC-1T"/>
      <sheetName val="GS(T)-1"/>
      <sheetName val="GSCU-1"/>
      <sheetName val="SL-2 (2)"/>
      <sheetName val="GSCU-1 &amp; SL-2"/>
      <sheetName val="GSD(T)-1"/>
      <sheetName val="GSLD(T)-1"/>
      <sheetName val="GSLD(T)-2"/>
      <sheetName val="GSLD(T)-3"/>
      <sheetName val="MET"/>
      <sheetName val="OL-1"/>
      <sheetName val="OL-1 &amp; SL-1"/>
      <sheetName val="OS-2"/>
      <sheetName val="RS(T)-1"/>
      <sheetName val="SL-1"/>
      <sheetName val="SL-2"/>
      <sheetName val="SST-1D"/>
      <sheetName val="SST-1T"/>
      <sheetName val="BLOUNTSTOWN"/>
      <sheetName val="FKEC"/>
      <sheetName val="HOMESTEAD"/>
      <sheetName val="LCEC"/>
      <sheetName val="NEW SMYRNA"/>
      <sheetName val="QUINCY"/>
      <sheetName val="SEMINOLE"/>
      <sheetName val="WINTER PARK"/>
      <sheetName val="WAUCHULA"/>
      <sheetName val="Sales Forecast by COS"/>
      <sheetName val="Billing Demands"/>
      <sheetName val="Sales by Rev Class (FNG) "/>
      <sheetName val="Sales Forecast"/>
      <sheetName val="Billing Demand"/>
      <sheetName val="Summary_Delivered_Sales"/>
      <sheetName val="Summary_CP"/>
      <sheetName val="Summary_NCP "/>
      <sheetName val="Load Control Events"/>
      <sheetName val="Avg CP LF"/>
      <sheetName val="Avg GNCP LF"/>
      <sheetName val="Avg NCP LF"/>
      <sheetName val="HOURS"/>
      <sheetName val="Avg CP"/>
      <sheetName val="Avg GNCP"/>
      <sheetName val="Avg NCP ON PEAK"/>
      <sheetName val="Avg NCP"/>
      <sheetName val="Avg KWH"/>
      <sheetName val="E11 - 2012 09 Final"/>
      <sheetName val="E11 - 2013 09 Final"/>
      <sheetName val="E11 - 2014 09 Final"/>
      <sheetName val="MANU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>
        <row r="60">
          <cell r="Q60">
            <v>0.86999666550226762</v>
          </cell>
        </row>
        <row r="63">
          <cell r="P63">
            <v>429418.41645449324</v>
          </cell>
        </row>
        <row r="69">
          <cell r="Q69">
            <v>0.86503287752103508</v>
          </cell>
        </row>
        <row r="72">
          <cell r="P72">
            <v>429330.2129284023</v>
          </cell>
        </row>
      </sheetData>
      <sheetData sheetId="18">
        <row r="60">
          <cell r="Q60">
            <v>0.90923357476441657</v>
          </cell>
        </row>
        <row r="63">
          <cell r="P63">
            <v>225558.74252306754</v>
          </cell>
        </row>
        <row r="69">
          <cell r="Q69">
            <v>0.90405436942759743</v>
          </cell>
        </row>
        <row r="72">
          <cell r="P72">
            <v>229161.80537125564</v>
          </cell>
        </row>
      </sheetData>
      <sheetData sheetId="19">
        <row r="61">
          <cell r="Q61">
            <v>0.64794684276047299</v>
          </cell>
        </row>
        <row r="63">
          <cell r="P63">
            <v>2009590.6341945103</v>
          </cell>
        </row>
        <row r="69">
          <cell r="Q69">
            <v>0.6442654800125015</v>
          </cell>
        </row>
        <row r="71">
          <cell r="P71">
            <v>2020606.794482196</v>
          </cell>
        </row>
      </sheetData>
      <sheetData sheetId="20" refreshError="1"/>
      <sheetData sheetId="21" refreshError="1"/>
      <sheetData sheetId="22">
        <row r="61">
          <cell r="Q61">
            <v>0.94825427867741852</v>
          </cell>
        </row>
        <row r="63">
          <cell r="P63">
            <v>12695.926255080072</v>
          </cell>
        </row>
        <row r="69">
          <cell r="Q69">
            <v>0.94284877388354726</v>
          </cell>
        </row>
        <row r="71">
          <cell r="P71">
            <v>12922.122706554675</v>
          </cell>
        </row>
      </sheetData>
      <sheetData sheetId="23">
        <row r="61">
          <cell r="Q61">
            <v>0.7250743148126767</v>
          </cell>
        </row>
        <row r="63">
          <cell r="P63">
            <v>5878166.3280035565</v>
          </cell>
        </row>
        <row r="69">
          <cell r="Q69">
            <v>0.72095715928252913</v>
          </cell>
        </row>
        <row r="71">
          <cell r="P71">
            <v>5906278.3988084989</v>
          </cell>
        </row>
      </sheetData>
      <sheetData sheetId="24">
        <row r="60">
          <cell r="Q60">
            <v>0.72999461177638714</v>
          </cell>
        </row>
        <row r="62">
          <cell r="P62">
            <v>2115063.1152586355</v>
          </cell>
        </row>
        <row r="68">
          <cell r="Q68">
            <v>0.72584879896509791</v>
          </cell>
        </row>
        <row r="70">
          <cell r="P70">
            <v>2125933.9817548324</v>
          </cell>
        </row>
      </sheetData>
      <sheetData sheetId="25">
        <row r="60">
          <cell r="Q60">
            <v>0.87345926572709476</v>
          </cell>
        </row>
        <row r="62">
          <cell r="P62">
            <v>436458.30541833135</v>
          </cell>
        </row>
        <row r="68">
          <cell r="Q68">
            <v>0.86841877290340996</v>
          </cell>
        </row>
        <row r="70">
          <cell r="P70">
            <v>435783.65055081039</v>
          </cell>
        </row>
      </sheetData>
      <sheetData sheetId="26">
        <row r="60">
          <cell r="Q60">
            <v>0.85788668835439907</v>
          </cell>
        </row>
        <row r="63">
          <cell r="P63">
            <v>35269.927466604626</v>
          </cell>
        </row>
        <row r="69">
          <cell r="Q69">
            <v>0.85297493338993025</v>
          </cell>
        </row>
        <row r="72">
          <cell r="P72">
            <v>30352.794882276725</v>
          </cell>
        </row>
      </sheetData>
      <sheetData sheetId="27">
        <row r="60">
          <cell r="Q60">
            <v>0.71417516516020862</v>
          </cell>
        </row>
        <row r="61">
          <cell r="P61">
            <v>16113.074580118737</v>
          </cell>
        </row>
        <row r="68">
          <cell r="Q68">
            <v>0.71006928440649986</v>
          </cell>
        </row>
        <row r="69">
          <cell r="P69">
            <v>16130.08316769729</v>
          </cell>
        </row>
      </sheetData>
      <sheetData sheetId="28" refreshError="1"/>
      <sheetData sheetId="29">
        <row r="60">
          <cell r="Q60">
            <v>5.8504734154237852</v>
          </cell>
        </row>
        <row r="62">
          <cell r="P62">
            <v>153650.38642725619</v>
          </cell>
        </row>
        <row r="68">
          <cell r="Q68">
            <v>5.8150031949913128</v>
          </cell>
        </row>
        <row r="70">
          <cell r="P70">
            <v>155883.71334317679</v>
          </cell>
        </row>
      </sheetData>
      <sheetData sheetId="30">
        <row r="60">
          <cell r="Q60">
            <v>0.919103434392193</v>
          </cell>
        </row>
        <row r="62">
          <cell r="P62">
            <v>12941.093632980663</v>
          </cell>
        </row>
        <row r="68">
          <cell r="Q68">
            <v>0.91441212893786994</v>
          </cell>
        </row>
        <row r="70">
          <cell r="P70">
            <v>12972.530115288007</v>
          </cell>
        </row>
      </sheetData>
      <sheetData sheetId="31">
        <row r="60">
          <cell r="Q60">
            <v>0.58936595074446629</v>
          </cell>
        </row>
        <row r="62">
          <cell r="P62">
            <v>27467906.102011632</v>
          </cell>
        </row>
        <row r="68">
          <cell r="Q68">
            <v>0.58600543495497959</v>
          </cell>
        </row>
        <row r="70">
          <cell r="P70">
            <v>27641626.416106772</v>
          </cell>
        </row>
      </sheetData>
      <sheetData sheetId="32" refreshError="1"/>
      <sheetData sheetId="33" refreshError="1"/>
      <sheetData sheetId="34">
        <row r="60">
          <cell r="Q60">
            <v>0.77997950485562773</v>
          </cell>
        </row>
        <row r="62">
          <cell r="P62">
            <v>4559.8342849388291</v>
          </cell>
        </row>
        <row r="68">
          <cell r="Q68">
            <v>0.7756741267446351</v>
          </cell>
        </row>
        <row r="70">
          <cell r="P70">
            <v>4559.8342849388291</v>
          </cell>
        </row>
      </sheetData>
      <sheetData sheetId="35">
        <row r="60">
          <cell r="Q60">
            <v>1.0702963338905989</v>
          </cell>
        </row>
        <row r="62">
          <cell r="P62">
            <v>90426.896702376936</v>
          </cell>
        </row>
        <row r="68">
          <cell r="Q68">
            <v>1.0642537654835582</v>
          </cell>
        </row>
        <row r="70">
          <cell r="P70">
            <v>90426.896702376936</v>
          </cell>
        </row>
      </sheetData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>
        <row r="4">
          <cell r="O4">
            <v>230781253</v>
          </cell>
          <cell r="P4">
            <v>211833995</v>
          </cell>
          <cell r="Q4">
            <v>212923906</v>
          </cell>
          <cell r="R4">
            <v>214435548</v>
          </cell>
          <cell r="S4">
            <v>221455796</v>
          </cell>
          <cell r="T4">
            <v>229270200</v>
          </cell>
          <cell r="U4">
            <v>236317752</v>
          </cell>
          <cell r="V4">
            <v>234795889</v>
          </cell>
          <cell r="W4">
            <v>232721345</v>
          </cell>
          <cell r="X4">
            <v>224975757</v>
          </cell>
          <cell r="Y4">
            <v>214508903</v>
          </cell>
          <cell r="Z4">
            <v>223400047</v>
          </cell>
          <cell r="AA4">
            <v>230147593</v>
          </cell>
          <cell r="AB4">
            <v>211718578</v>
          </cell>
          <cell r="AC4">
            <v>213057450</v>
          </cell>
          <cell r="AD4">
            <v>214749441</v>
          </cell>
          <cell r="AE4">
            <v>221607313</v>
          </cell>
          <cell r="AF4">
            <v>229312876</v>
          </cell>
          <cell r="AG4">
            <v>236244446</v>
          </cell>
          <cell r="AH4">
            <v>234641096</v>
          </cell>
          <cell r="AI4">
            <v>232382963</v>
          </cell>
          <cell r="AJ4">
            <v>224910929</v>
          </cell>
          <cell r="AK4">
            <v>214593858</v>
          </cell>
          <cell r="AL4">
            <v>223591082</v>
          </cell>
        </row>
        <row r="5">
          <cell r="O5">
            <v>8790697</v>
          </cell>
          <cell r="P5">
            <v>8102439</v>
          </cell>
          <cell r="Q5">
            <v>8043980</v>
          </cell>
          <cell r="R5">
            <v>8069797</v>
          </cell>
          <cell r="S5">
            <v>8363391</v>
          </cell>
          <cell r="T5">
            <v>8574093</v>
          </cell>
          <cell r="U5">
            <v>8775072</v>
          </cell>
          <cell r="V5">
            <v>8799193</v>
          </cell>
          <cell r="W5">
            <v>8768146</v>
          </cell>
          <cell r="X5">
            <v>8505733</v>
          </cell>
          <cell r="Y5">
            <v>8194398</v>
          </cell>
          <cell r="Z5">
            <v>8636563</v>
          </cell>
          <cell r="AA5">
            <v>8755599</v>
          </cell>
          <cell r="AB5">
            <v>8087536</v>
          </cell>
          <cell r="AC5">
            <v>8039075</v>
          </cell>
          <cell r="AD5">
            <v>8072692</v>
          </cell>
          <cell r="AE5">
            <v>8360935</v>
          </cell>
          <cell r="AF5">
            <v>8568523</v>
          </cell>
          <cell r="AG5">
            <v>8766288</v>
          </cell>
          <cell r="AH5">
            <v>8786960</v>
          </cell>
          <cell r="AI5">
            <v>8748441</v>
          </cell>
          <cell r="AJ5">
            <v>8495696</v>
          </cell>
          <cell r="AK5">
            <v>8190030</v>
          </cell>
          <cell r="AL5">
            <v>8636760</v>
          </cell>
        </row>
        <row r="6">
          <cell r="O6">
            <v>125750423</v>
          </cell>
          <cell r="P6">
            <v>117221965</v>
          </cell>
          <cell r="Q6">
            <v>118767389</v>
          </cell>
          <cell r="R6">
            <v>123452460</v>
          </cell>
          <cell r="S6">
            <v>122801452</v>
          </cell>
          <cell r="T6">
            <v>127537356</v>
          </cell>
          <cell r="U6">
            <v>128193988</v>
          </cell>
          <cell r="V6">
            <v>127368729</v>
          </cell>
          <cell r="W6">
            <v>130512332</v>
          </cell>
          <cell r="X6">
            <v>126790722</v>
          </cell>
          <cell r="Y6">
            <v>129769170</v>
          </cell>
          <cell r="Z6">
            <v>130169328</v>
          </cell>
          <cell r="AA6">
            <v>127991407</v>
          </cell>
          <cell r="AB6">
            <v>119297338</v>
          </cell>
          <cell r="AC6">
            <v>120875493</v>
          </cell>
          <cell r="AD6">
            <v>125583003</v>
          </cell>
          <cell r="AE6">
            <v>124861170</v>
          </cell>
          <cell r="AF6">
            <v>129581872</v>
          </cell>
          <cell r="AG6">
            <v>130185341</v>
          </cell>
          <cell r="AH6">
            <v>129273135</v>
          </cell>
          <cell r="AI6">
            <v>132412807</v>
          </cell>
          <cell r="AJ6">
            <v>128676900</v>
          </cell>
          <cell r="AK6">
            <v>131665175</v>
          </cell>
          <cell r="AL6">
            <v>132017750</v>
          </cell>
        </row>
        <row r="7">
          <cell r="O7">
            <v>474037478</v>
          </cell>
          <cell r="P7">
            <v>421493319</v>
          </cell>
          <cell r="Q7">
            <v>436128454</v>
          </cell>
          <cell r="R7">
            <v>452175041</v>
          </cell>
          <cell r="S7">
            <v>505437208</v>
          </cell>
          <cell r="T7">
            <v>540809617</v>
          </cell>
          <cell r="U7">
            <v>570905184</v>
          </cell>
          <cell r="V7">
            <v>571130874</v>
          </cell>
          <cell r="W7">
            <v>555576895</v>
          </cell>
          <cell r="X7">
            <v>515188641</v>
          </cell>
          <cell r="Y7">
            <v>464021202</v>
          </cell>
          <cell r="Z7">
            <v>461888209</v>
          </cell>
          <cell r="AA7">
            <v>474911913</v>
          </cell>
          <cell r="AB7">
            <v>423086514</v>
          </cell>
          <cell r="AC7">
            <v>438581362</v>
          </cell>
          <cell r="AD7">
            <v>455379730</v>
          </cell>
          <cell r="AE7">
            <v>508865785</v>
          </cell>
          <cell r="AF7">
            <v>544347197</v>
          </cell>
          <cell r="AG7">
            <v>574359053</v>
          </cell>
          <cell r="AH7">
            <v>574291634</v>
          </cell>
          <cell r="AI7">
            <v>558012811</v>
          </cell>
          <cell r="AJ7">
            <v>518024824</v>
          </cell>
          <cell r="AK7">
            <v>466858900</v>
          </cell>
          <cell r="AL7">
            <v>465071362</v>
          </cell>
        </row>
        <row r="8">
          <cell r="O8">
            <v>5819546</v>
          </cell>
          <cell r="P8">
            <v>5825464</v>
          </cell>
          <cell r="Q8">
            <v>5831382</v>
          </cell>
          <cell r="R8">
            <v>5837838</v>
          </cell>
          <cell r="S8">
            <v>5844294</v>
          </cell>
          <cell r="T8">
            <v>5850750</v>
          </cell>
          <cell r="U8">
            <v>5857206</v>
          </cell>
          <cell r="V8">
            <v>5863124</v>
          </cell>
          <cell r="W8">
            <v>5869580</v>
          </cell>
          <cell r="X8">
            <v>5875498</v>
          </cell>
          <cell r="Y8">
            <v>5880878</v>
          </cell>
          <cell r="Z8">
            <v>5886258</v>
          </cell>
          <cell r="AA8">
            <v>5891638</v>
          </cell>
          <cell r="AB8">
            <v>5897018</v>
          </cell>
          <cell r="AC8">
            <v>5902398</v>
          </cell>
          <cell r="AD8">
            <v>5908854</v>
          </cell>
          <cell r="AE8">
            <v>5915310</v>
          </cell>
          <cell r="AF8">
            <v>5921228</v>
          </cell>
          <cell r="AG8">
            <v>5927146</v>
          </cell>
          <cell r="AH8">
            <v>5932526</v>
          </cell>
          <cell r="AI8">
            <v>5938444</v>
          </cell>
          <cell r="AJ8">
            <v>5943824</v>
          </cell>
          <cell r="AK8">
            <v>5949204</v>
          </cell>
          <cell r="AL8">
            <v>5954584</v>
          </cell>
        </row>
        <row r="9">
          <cell r="O9">
            <v>2125027898</v>
          </cell>
          <cell r="P9">
            <v>1868655365</v>
          </cell>
          <cell r="Q9">
            <v>1921617542</v>
          </cell>
          <cell r="R9">
            <v>1978696349</v>
          </cell>
          <cell r="S9">
            <v>2175878238</v>
          </cell>
          <cell r="T9">
            <v>2293502526</v>
          </cell>
          <cell r="U9">
            <v>2382585585</v>
          </cell>
          <cell r="V9">
            <v>2376881395</v>
          </cell>
          <cell r="W9">
            <v>2357807650</v>
          </cell>
          <cell r="X9">
            <v>2225515867</v>
          </cell>
          <cell r="Y9">
            <v>2047495255</v>
          </cell>
          <cell r="Z9">
            <v>2071765114</v>
          </cell>
          <cell r="AA9">
            <v>2126959738</v>
          </cell>
          <cell r="AB9">
            <v>1873797784</v>
          </cell>
          <cell r="AC9">
            <v>1930704311</v>
          </cell>
          <cell r="AD9">
            <v>1991087521</v>
          </cell>
          <cell r="AE9">
            <v>2189052499</v>
          </cell>
          <cell r="AF9">
            <v>2306918989</v>
          </cell>
          <cell r="AG9">
            <v>2395264761</v>
          </cell>
          <cell r="AH9">
            <v>2388332886</v>
          </cell>
          <cell r="AI9">
            <v>2366641005</v>
          </cell>
          <cell r="AJ9">
            <v>2236585324</v>
          </cell>
          <cell r="AK9">
            <v>2059115027</v>
          </cell>
          <cell r="AL9">
            <v>2085282411</v>
          </cell>
        </row>
        <row r="10">
          <cell r="O10">
            <v>869348955</v>
          </cell>
          <cell r="P10">
            <v>781904160</v>
          </cell>
          <cell r="Q10">
            <v>799875142</v>
          </cell>
          <cell r="R10">
            <v>813282613</v>
          </cell>
          <cell r="S10">
            <v>891962736</v>
          </cell>
          <cell r="T10">
            <v>918624369</v>
          </cell>
          <cell r="U10">
            <v>934555629</v>
          </cell>
          <cell r="V10">
            <v>941225770</v>
          </cell>
          <cell r="W10">
            <v>945179485</v>
          </cell>
          <cell r="X10">
            <v>910044506</v>
          </cell>
          <cell r="Y10">
            <v>839334767</v>
          </cell>
          <cell r="Z10">
            <v>862159574</v>
          </cell>
          <cell r="AA10">
            <v>870597168</v>
          </cell>
          <cell r="AB10">
            <v>784006470</v>
          </cell>
          <cell r="AC10">
            <v>803735942</v>
          </cell>
          <cell r="AD10">
            <v>818611119</v>
          </cell>
          <cell r="AE10">
            <v>897899840</v>
          </cell>
          <cell r="AF10">
            <v>923960089</v>
          </cell>
          <cell r="AG10">
            <v>939148073</v>
          </cell>
          <cell r="AH10">
            <v>946418138</v>
          </cell>
          <cell r="AI10">
            <v>949043502</v>
          </cell>
          <cell r="AJ10">
            <v>915120924</v>
          </cell>
          <cell r="AK10">
            <v>844793003</v>
          </cell>
          <cell r="AL10">
            <v>868293213</v>
          </cell>
        </row>
        <row r="11">
          <cell r="O11">
            <v>214054843</v>
          </cell>
          <cell r="P11">
            <v>188478613</v>
          </cell>
          <cell r="Q11">
            <v>192959738</v>
          </cell>
          <cell r="R11">
            <v>194210797</v>
          </cell>
          <cell r="S11">
            <v>207828810</v>
          </cell>
          <cell r="T11">
            <v>219261907</v>
          </cell>
          <cell r="U11">
            <v>226094447</v>
          </cell>
          <cell r="V11">
            <v>228910099</v>
          </cell>
          <cell r="W11">
            <v>222456184</v>
          </cell>
          <cell r="X11">
            <v>213252955</v>
          </cell>
          <cell r="Y11">
            <v>201077831</v>
          </cell>
          <cell r="Z11">
            <v>206884701</v>
          </cell>
          <cell r="AA11">
            <v>213349844</v>
          </cell>
          <cell r="AB11">
            <v>188241092</v>
          </cell>
          <cell r="AC11">
            <v>193060457</v>
          </cell>
          <cell r="AD11">
            <v>194555503</v>
          </cell>
          <cell r="AE11">
            <v>208135640</v>
          </cell>
          <cell r="AF11">
            <v>219534845</v>
          </cell>
          <cell r="AG11">
            <v>224959658</v>
          </cell>
          <cell r="AH11">
            <v>227679903</v>
          </cell>
          <cell r="AI11">
            <v>221058338</v>
          </cell>
          <cell r="AJ11">
            <v>212178164</v>
          </cell>
          <cell r="AK11">
            <v>201348538</v>
          </cell>
          <cell r="AL11">
            <v>207329605</v>
          </cell>
        </row>
        <row r="12">
          <cell r="O12">
            <v>15148163</v>
          </cell>
          <cell r="P12">
            <v>16443605</v>
          </cell>
          <cell r="Q12">
            <v>14960739</v>
          </cell>
          <cell r="R12">
            <v>15206466</v>
          </cell>
          <cell r="S12">
            <v>16116480</v>
          </cell>
          <cell r="T12">
            <v>16104073</v>
          </cell>
          <cell r="U12">
            <v>13743742</v>
          </cell>
          <cell r="V12">
            <v>14208254</v>
          </cell>
          <cell r="W12">
            <v>12822301</v>
          </cell>
          <cell r="X12">
            <v>13194996</v>
          </cell>
          <cell r="Y12">
            <v>12004690</v>
          </cell>
          <cell r="Z12">
            <v>13038751</v>
          </cell>
          <cell r="AA12">
            <v>15425108</v>
          </cell>
          <cell r="AB12">
            <v>16748922</v>
          </cell>
          <cell r="AC12">
            <v>15198299</v>
          </cell>
          <cell r="AD12">
            <v>15447726</v>
          </cell>
          <cell r="AE12">
            <v>16458422</v>
          </cell>
          <cell r="AF12">
            <v>16352543</v>
          </cell>
          <cell r="AG12">
            <v>13949252</v>
          </cell>
          <cell r="AH12">
            <v>14409104</v>
          </cell>
          <cell r="AI12">
            <v>13006701</v>
          </cell>
          <cell r="AJ12">
            <v>13385730</v>
          </cell>
          <cell r="AK12">
            <v>12175178</v>
          </cell>
          <cell r="AL12">
            <v>13225543</v>
          </cell>
        </row>
        <row r="13">
          <cell r="O13">
            <v>7722488</v>
          </cell>
          <cell r="P13">
            <v>7033163</v>
          </cell>
          <cell r="Q13">
            <v>6654900</v>
          </cell>
          <cell r="R13">
            <v>7772538</v>
          </cell>
          <cell r="S13">
            <v>7766500</v>
          </cell>
          <cell r="T13">
            <v>7705775</v>
          </cell>
          <cell r="U13">
            <v>8084445</v>
          </cell>
          <cell r="V13">
            <v>8169352</v>
          </cell>
          <cell r="W13">
            <v>8099506</v>
          </cell>
          <cell r="X13">
            <v>8011486</v>
          </cell>
          <cell r="Y13">
            <v>7259718</v>
          </cell>
          <cell r="Z13">
            <v>6928425</v>
          </cell>
          <cell r="AA13">
            <v>7738456</v>
          </cell>
          <cell r="AB13">
            <v>7064794</v>
          </cell>
          <cell r="AC13">
            <v>6633200</v>
          </cell>
          <cell r="AD13">
            <v>7682281</v>
          </cell>
          <cell r="AE13">
            <v>7861525</v>
          </cell>
          <cell r="AF13">
            <v>7721438</v>
          </cell>
          <cell r="AG13">
            <v>8117627</v>
          </cell>
          <cell r="AH13">
            <v>8140185</v>
          </cell>
          <cell r="AI13">
            <v>8081455</v>
          </cell>
          <cell r="AJ13">
            <v>8007930</v>
          </cell>
          <cell r="AK13">
            <v>7271090</v>
          </cell>
          <cell r="AL13">
            <v>6921163</v>
          </cell>
        </row>
        <row r="14">
          <cell r="O14">
            <v>8180684</v>
          </cell>
          <cell r="P14">
            <v>8176620</v>
          </cell>
          <cell r="Q14">
            <v>8172556</v>
          </cell>
          <cell r="R14">
            <v>8168492</v>
          </cell>
          <cell r="S14">
            <v>8164428</v>
          </cell>
          <cell r="T14">
            <v>8160364</v>
          </cell>
          <cell r="U14">
            <v>8156300</v>
          </cell>
          <cell r="V14">
            <v>8152236</v>
          </cell>
          <cell r="W14">
            <v>8148172</v>
          </cell>
          <cell r="X14">
            <v>8144108</v>
          </cell>
          <cell r="Y14">
            <v>8140044</v>
          </cell>
          <cell r="Z14">
            <v>8135980</v>
          </cell>
          <cell r="AA14">
            <v>8131916</v>
          </cell>
          <cell r="AB14">
            <v>8127852</v>
          </cell>
          <cell r="AC14">
            <v>8123788</v>
          </cell>
          <cell r="AD14">
            <v>8119724</v>
          </cell>
          <cell r="AE14">
            <v>8115660</v>
          </cell>
          <cell r="AF14">
            <v>8111596</v>
          </cell>
          <cell r="AG14">
            <v>8107532</v>
          </cell>
          <cell r="AH14">
            <v>8103468</v>
          </cell>
          <cell r="AI14">
            <v>8099404</v>
          </cell>
          <cell r="AJ14">
            <v>8095340</v>
          </cell>
          <cell r="AK14">
            <v>8091276</v>
          </cell>
          <cell r="AL14">
            <v>8087212</v>
          </cell>
        </row>
        <row r="15">
          <cell r="O15">
            <v>868047</v>
          </cell>
          <cell r="P15">
            <v>980593</v>
          </cell>
          <cell r="Q15">
            <v>1051238</v>
          </cell>
          <cell r="R15">
            <v>908437</v>
          </cell>
          <cell r="S15">
            <v>861058</v>
          </cell>
          <cell r="T15">
            <v>823754</v>
          </cell>
          <cell r="U15">
            <v>714380</v>
          </cell>
          <cell r="V15">
            <v>720433</v>
          </cell>
          <cell r="W15">
            <v>908768</v>
          </cell>
          <cell r="X15">
            <v>936451</v>
          </cell>
          <cell r="Y15">
            <v>1075889</v>
          </cell>
          <cell r="Z15">
            <v>944265</v>
          </cell>
          <cell r="AA15">
            <v>867864</v>
          </cell>
          <cell r="AB15">
            <v>984899</v>
          </cell>
          <cell r="AC15">
            <v>1053975</v>
          </cell>
          <cell r="AD15">
            <v>905029</v>
          </cell>
          <cell r="AE15">
            <v>867571</v>
          </cell>
          <cell r="AF15">
            <v>826700</v>
          </cell>
          <cell r="AG15">
            <v>716833</v>
          </cell>
          <cell r="AH15">
            <v>721114</v>
          </cell>
          <cell r="AI15">
            <v>913339</v>
          </cell>
          <cell r="AJ15">
            <v>937603</v>
          </cell>
          <cell r="AK15">
            <v>1080423</v>
          </cell>
          <cell r="AL15">
            <v>944116</v>
          </cell>
        </row>
        <row r="16">
          <cell r="O16">
            <v>4459036218</v>
          </cell>
          <cell r="P16">
            <v>3960503996</v>
          </cell>
          <cell r="Q16">
            <v>3878065213</v>
          </cell>
          <cell r="R16">
            <v>3972698748</v>
          </cell>
          <cell r="S16">
            <v>4630611997</v>
          </cell>
          <cell r="T16">
            <v>5289857496</v>
          </cell>
          <cell r="U16">
            <v>5760290400</v>
          </cell>
          <cell r="V16">
            <v>5891589976</v>
          </cell>
          <cell r="W16">
            <v>5704211543</v>
          </cell>
          <cell r="X16">
            <v>5133789102</v>
          </cell>
          <cell r="Y16">
            <v>4240281030</v>
          </cell>
          <cell r="Z16">
            <v>4072742788</v>
          </cell>
          <cell r="AA16">
            <v>4480547058</v>
          </cell>
          <cell r="AB16">
            <v>3970626763</v>
          </cell>
          <cell r="AC16">
            <v>3898615460</v>
          </cell>
          <cell r="AD16">
            <v>4003806466</v>
          </cell>
          <cell r="AE16">
            <v>4668629145</v>
          </cell>
          <cell r="AF16">
            <v>5326911058</v>
          </cell>
          <cell r="AG16">
            <v>5797588974</v>
          </cell>
          <cell r="AH16">
            <v>5927891677</v>
          </cell>
          <cell r="AI16">
            <v>5743314788</v>
          </cell>
          <cell r="AJ16">
            <v>5166360566</v>
          </cell>
          <cell r="AK16">
            <v>4269989489</v>
          </cell>
          <cell r="AL16">
            <v>4106934435</v>
          </cell>
        </row>
        <row r="17">
          <cell r="O17">
            <v>49089770</v>
          </cell>
          <cell r="P17">
            <v>45452138</v>
          </cell>
          <cell r="Q17">
            <v>45698883</v>
          </cell>
          <cell r="R17">
            <v>47161001</v>
          </cell>
          <cell r="S17">
            <v>46982784</v>
          </cell>
          <cell r="T17">
            <v>44454046</v>
          </cell>
          <cell r="U17">
            <v>45978606</v>
          </cell>
          <cell r="V17">
            <v>52412648</v>
          </cell>
          <cell r="W17">
            <v>46488434</v>
          </cell>
          <cell r="X17">
            <v>43851383</v>
          </cell>
          <cell r="Y17">
            <v>43397174</v>
          </cell>
          <cell r="Z17">
            <v>49840091</v>
          </cell>
          <cell r="AA17">
            <v>49954501</v>
          </cell>
          <cell r="AB17">
            <v>46262213</v>
          </cell>
          <cell r="AC17">
            <v>46526540</v>
          </cell>
          <cell r="AD17">
            <v>48037603</v>
          </cell>
          <cell r="AE17">
            <v>47848318</v>
          </cell>
          <cell r="AF17">
            <v>45261755</v>
          </cell>
          <cell r="AG17">
            <v>46811116</v>
          </cell>
          <cell r="AH17">
            <v>53380049</v>
          </cell>
          <cell r="AI17">
            <v>47321203</v>
          </cell>
          <cell r="AJ17">
            <v>44630969</v>
          </cell>
          <cell r="AK17">
            <v>44174215</v>
          </cell>
          <cell r="AL17">
            <v>50751782</v>
          </cell>
        </row>
        <row r="18">
          <cell r="O18">
            <v>2699417</v>
          </cell>
          <cell r="P18">
            <v>2705431</v>
          </cell>
          <cell r="Q18">
            <v>2710238</v>
          </cell>
          <cell r="R18">
            <v>2716256</v>
          </cell>
          <cell r="S18">
            <v>2721974</v>
          </cell>
          <cell r="T18">
            <v>2729808</v>
          </cell>
          <cell r="U18">
            <v>2735836</v>
          </cell>
          <cell r="V18">
            <v>2738850</v>
          </cell>
          <cell r="W18">
            <v>2743058</v>
          </cell>
          <cell r="X18">
            <v>2747892</v>
          </cell>
          <cell r="Y18">
            <v>2754833</v>
          </cell>
          <cell r="Z18">
            <v>2759033</v>
          </cell>
          <cell r="AA18">
            <v>2756550</v>
          </cell>
          <cell r="AB18">
            <v>2762564</v>
          </cell>
          <cell r="AC18">
            <v>2767409</v>
          </cell>
          <cell r="AD18">
            <v>2773427</v>
          </cell>
          <cell r="AE18">
            <v>2782214</v>
          </cell>
          <cell r="AF18">
            <v>2787074</v>
          </cell>
          <cell r="AG18">
            <v>2793102</v>
          </cell>
          <cell r="AH18">
            <v>2796116</v>
          </cell>
          <cell r="AI18">
            <v>2800286</v>
          </cell>
          <cell r="AJ18">
            <v>2808172</v>
          </cell>
          <cell r="AK18">
            <v>2812118</v>
          </cell>
          <cell r="AL18">
            <v>2816280</v>
          </cell>
        </row>
        <row r="19">
          <cell r="O19">
            <v>602856</v>
          </cell>
          <cell r="P19">
            <v>685784</v>
          </cell>
          <cell r="Q19">
            <v>666585</v>
          </cell>
          <cell r="R19">
            <v>1230699</v>
          </cell>
          <cell r="S19">
            <v>1462083</v>
          </cell>
          <cell r="T19">
            <v>1187857</v>
          </cell>
          <cell r="U19">
            <v>1087713</v>
          </cell>
          <cell r="V19">
            <v>1181803</v>
          </cell>
          <cell r="W19">
            <v>1205075</v>
          </cell>
          <cell r="X19">
            <v>1239312</v>
          </cell>
          <cell r="Y19">
            <v>799615</v>
          </cell>
          <cell r="Z19">
            <v>507544</v>
          </cell>
          <cell r="AA19">
            <v>602856</v>
          </cell>
          <cell r="AB19">
            <v>685784</v>
          </cell>
          <cell r="AC19">
            <v>666585</v>
          </cell>
          <cell r="AD19">
            <v>1230699</v>
          </cell>
          <cell r="AE19">
            <v>1462083</v>
          </cell>
          <cell r="AF19">
            <v>1187857</v>
          </cell>
          <cell r="AG19">
            <v>1087713</v>
          </cell>
          <cell r="AH19">
            <v>1181803</v>
          </cell>
          <cell r="AI19">
            <v>1205075</v>
          </cell>
          <cell r="AJ19">
            <v>1239312</v>
          </cell>
          <cell r="AK19">
            <v>799615</v>
          </cell>
          <cell r="AL19">
            <v>507544</v>
          </cell>
        </row>
        <row r="20">
          <cell r="O20">
            <v>5811710</v>
          </cell>
          <cell r="P20">
            <v>6787344</v>
          </cell>
          <cell r="Q20">
            <v>8318048</v>
          </cell>
          <cell r="R20">
            <v>7683818</v>
          </cell>
          <cell r="S20">
            <v>10687136</v>
          </cell>
          <cell r="T20">
            <v>7415962</v>
          </cell>
          <cell r="U20">
            <v>7202482</v>
          </cell>
          <cell r="V20">
            <v>6421378</v>
          </cell>
          <cell r="W20">
            <v>4740820</v>
          </cell>
          <cell r="X20">
            <v>9837782</v>
          </cell>
          <cell r="Y20">
            <v>9758504</v>
          </cell>
          <cell r="Z20">
            <v>5002770</v>
          </cell>
          <cell r="AA20">
            <v>5811710</v>
          </cell>
          <cell r="AB20">
            <v>6787344</v>
          </cell>
          <cell r="AC20">
            <v>8318048</v>
          </cell>
          <cell r="AD20">
            <v>7683818</v>
          </cell>
          <cell r="AE20">
            <v>10687136</v>
          </cell>
          <cell r="AF20">
            <v>7415962</v>
          </cell>
          <cell r="AG20">
            <v>7202482</v>
          </cell>
          <cell r="AH20">
            <v>6421378</v>
          </cell>
          <cell r="AI20">
            <v>4740820</v>
          </cell>
          <cell r="AJ20">
            <v>9837782</v>
          </cell>
          <cell r="AK20">
            <v>9758504</v>
          </cell>
          <cell r="AL20">
            <v>5002770</v>
          </cell>
        </row>
      </sheetData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LS_GNCP_Demand_Losses_by_Rate"/>
      <sheetName val="LLS_Demand_Losses_by_Rate_Grou"/>
      <sheetName val="LLS_KWH_12CP_GNCP"/>
      <sheetName val="LLS_Energy_Losses_by_Rate_Grou"/>
      <sheetName val="LLS_12CP_Demand_Losses_by_Rate"/>
      <sheetName val="LLS_Energy_Losses_by_Rate_Clas"/>
      <sheetName val="MFR_E_10_Attachment_2_FPL101"/>
      <sheetName val="MFR_E_10_Attachment_2_FPL201"/>
    </sheetNames>
    <sheetDataSet>
      <sheetData sheetId="0"/>
      <sheetData sheetId="1">
        <row r="5">
          <cell r="E5">
            <v>1.0532248551572985</v>
          </cell>
        </row>
      </sheetData>
      <sheetData sheetId="2"/>
      <sheetData sheetId="3">
        <row r="5">
          <cell r="E5">
            <v>1.0405349356358289</v>
          </cell>
        </row>
      </sheetData>
      <sheetData sheetId="4">
        <row r="14">
          <cell r="C14">
            <v>1.021836586761282</v>
          </cell>
        </row>
        <row r="18">
          <cell r="C18">
            <v>1.0644100686811759</v>
          </cell>
        </row>
        <row r="27">
          <cell r="C27">
            <v>1.0643248219511645</v>
          </cell>
        </row>
        <row r="32">
          <cell r="C32">
            <v>1.0632456834852095</v>
          </cell>
        </row>
        <row r="37">
          <cell r="C37">
            <v>1.054788034506472</v>
          </cell>
        </row>
        <row r="41">
          <cell r="C41">
            <v>1.0218365873198931</v>
          </cell>
        </row>
        <row r="45">
          <cell r="C45">
            <v>1.0348230286686431</v>
          </cell>
        </row>
        <row r="49">
          <cell r="C49">
            <v>1.0644100694966601</v>
          </cell>
        </row>
        <row r="54">
          <cell r="C54">
            <v>1.0569735544590297</v>
          </cell>
        </row>
        <row r="60">
          <cell r="C60">
            <v>1.0644100692852212</v>
          </cell>
        </row>
        <row r="68">
          <cell r="C68">
            <v>1.0644100702535517</v>
          </cell>
        </row>
        <row r="72">
          <cell r="C72">
            <v>1.0348230296067638</v>
          </cell>
        </row>
        <row r="76">
          <cell r="C76">
            <v>1.0218365882532447</v>
          </cell>
        </row>
      </sheetData>
      <sheetData sheetId="5">
        <row r="14">
          <cell r="C14">
            <v>1.0170051802969728</v>
          </cell>
        </row>
        <row r="18">
          <cell r="C18">
            <v>1.0486289832939273</v>
          </cell>
        </row>
        <row r="27">
          <cell r="C27">
            <v>1.0485653999282598</v>
          </cell>
        </row>
        <row r="32">
          <cell r="C32">
            <v>1.0477861840453897</v>
          </cell>
        </row>
        <row r="37">
          <cell r="C37">
            <v>1.0411321362257282</v>
          </cell>
        </row>
        <row r="41">
          <cell r="C41">
            <v>1.0170051802969728</v>
          </cell>
        </row>
        <row r="45">
          <cell r="C45">
            <v>1.0266921244920639</v>
          </cell>
        </row>
        <row r="49">
          <cell r="C49">
            <v>1.0486289832939273</v>
          </cell>
        </row>
        <row r="53">
          <cell r="C53">
            <v>1.0266921244920639</v>
          </cell>
        </row>
        <row r="59">
          <cell r="C59">
            <v>1.0486289832939273</v>
          </cell>
        </row>
        <row r="67">
          <cell r="C67">
            <v>1.0486289832939273</v>
          </cell>
        </row>
        <row r="71">
          <cell r="C71">
            <v>1.0266921244920639</v>
          </cell>
        </row>
        <row r="75">
          <cell r="C75">
            <v>1.0170051802969728</v>
          </cell>
        </row>
      </sheetData>
      <sheetData sheetId="6"/>
      <sheetData sheetId="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RAF_Detailed_Juris_COS_ID_NOI"/>
    </sheetNames>
    <sheetDataSet>
      <sheetData sheetId="0">
        <row r="3">
          <cell r="B3">
            <v>333125619.24357873</v>
          </cell>
        </row>
        <row r="14">
          <cell r="B14">
            <v>309753849.86643755</v>
          </cell>
        </row>
        <row r="25">
          <cell r="B25">
            <v>283144162.00660276</v>
          </cell>
        </row>
        <row r="36">
          <cell r="B36">
            <v>272102517.03007358</v>
          </cell>
        </row>
      </sheetData>
      <sheetData sheetId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FR_E_10_Attachment_2__FPL201"/>
      <sheetName val="MFR_E_10_Attachment_2__FPL102"/>
      <sheetName val="Clause Allocations"/>
      <sheetName val="LF Analysis"/>
      <sheetName val="CP Analysis - From Load Researc"/>
      <sheetName val="Sheet1"/>
    </sheetNames>
    <sheetDataSet>
      <sheetData sheetId="0" refreshError="1"/>
      <sheetData sheetId="1" refreshError="1"/>
      <sheetData sheetId="2" refreshError="1"/>
      <sheetData sheetId="3" refreshError="1">
        <row r="2">
          <cell r="A2" t="str">
            <v>January 2017 through December 2017</v>
          </cell>
        </row>
      </sheetData>
      <sheetData sheetId="4" refreshError="1"/>
      <sheetData sheetId="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LS_12CP_Demand_Losses_by_Rate"/>
      <sheetName val="LLS_GNCP_Demand_Losses_by_Rate"/>
      <sheetName val="LLS_Demand_Losses_by_Rate_Grou"/>
      <sheetName val="LLS_Energy_Losses_by_Rate_Grou"/>
      <sheetName val="LLS_Energy_Losses_by_Rate_Clas"/>
      <sheetName val="LLS_KWH_12CP_GNCP"/>
      <sheetName val="MFR_E_10_Attachment_2_FPL101"/>
      <sheetName val="MFR_E_10_Attachment_2_FPL201"/>
    </sheetNames>
    <sheetDataSet>
      <sheetData sheetId="0">
        <row r="14">
          <cell r="C14">
            <v>1.0219163648227962</v>
          </cell>
        </row>
        <row r="18">
          <cell r="C18">
            <v>1.0646691322160158</v>
          </cell>
        </row>
        <row r="27">
          <cell r="C27">
            <v>1.0645832438034282</v>
          </cell>
        </row>
        <row r="32">
          <cell r="C32">
            <v>1.0634959822708607</v>
          </cell>
        </row>
        <row r="37">
          <cell r="C37">
            <v>1.0549746694884183</v>
          </cell>
        </row>
        <row r="41">
          <cell r="C41">
            <v>1.0219163653884258</v>
          </cell>
        </row>
        <row r="45">
          <cell r="C45">
            <v>1.0348593797787911</v>
          </cell>
        </row>
        <row r="49">
          <cell r="C49">
            <v>1.0646691330406721</v>
          </cell>
        </row>
        <row r="54">
          <cell r="C54">
            <v>1.0571766406453194</v>
          </cell>
        </row>
        <row r="60">
          <cell r="C60">
            <v>1.0646691328274209</v>
          </cell>
        </row>
        <row r="68">
          <cell r="C68">
            <v>1.0646691338092202</v>
          </cell>
        </row>
        <row r="72">
          <cell r="C72">
            <v>1.0348593807299622</v>
          </cell>
        </row>
        <row r="76">
          <cell r="C76">
            <v>1.0219163663347777</v>
          </cell>
        </row>
      </sheetData>
      <sheetData sheetId="1"/>
      <sheetData sheetId="2">
        <row r="5">
          <cell r="E5">
            <v>1.0533993357888443</v>
          </cell>
        </row>
      </sheetData>
      <sheetData sheetId="3">
        <row r="5">
          <cell r="E5">
            <v>1.0405293502860777</v>
          </cell>
        </row>
      </sheetData>
      <sheetData sheetId="4">
        <row r="14">
          <cell r="C14">
            <v>1.0170123194074383</v>
          </cell>
        </row>
        <row r="18">
          <cell r="C18">
            <v>1.0486554726996764</v>
          </cell>
        </row>
        <row r="27">
          <cell r="C27">
            <v>1.0485916395184989</v>
          </cell>
        </row>
        <row r="32">
          <cell r="C32">
            <v>1.04780936213973</v>
          </cell>
        </row>
        <row r="37">
          <cell r="C37">
            <v>1.0411291709359818</v>
          </cell>
        </row>
        <row r="41">
          <cell r="C41">
            <v>1.0170123194074383</v>
          </cell>
        </row>
        <row r="45">
          <cell r="C45">
            <v>1.0266324251987167</v>
          </cell>
        </row>
        <row r="49">
          <cell r="C49">
            <v>1.0486554726996764</v>
          </cell>
        </row>
        <row r="53">
          <cell r="C53">
            <v>1.0266324251987167</v>
          </cell>
        </row>
        <row r="59">
          <cell r="C59">
            <v>1.0486554726996764</v>
          </cell>
        </row>
        <row r="67">
          <cell r="C67">
            <v>1.0486554726996764</v>
          </cell>
        </row>
        <row r="71">
          <cell r="C71">
            <v>1.0266324251987167</v>
          </cell>
        </row>
        <row r="75">
          <cell r="C75">
            <v>1.0170123194074383</v>
          </cell>
        </row>
      </sheetData>
      <sheetData sheetId="5"/>
      <sheetData sheetId="6"/>
      <sheetData sheetId="7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ecast Summary by Rate Code"/>
      <sheetName val="Scenario Info"/>
    </sheetNames>
    <sheetDataSet>
      <sheetData sheetId="0">
        <row r="5">
          <cell r="CH5">
            <v>230158924</v>
          </cell>
          <cell r="CI5">
            <v>212135758</v>
          </cell>
          <cell r="CJ5">
            <v>213296192</v>
          </cell>
          <cell r="CK5">
            <v>214779508</v>
          </cell>
          <cell r="CL5">
            <v>221304688</v>
          </cell>
          <cell r="CM5">
            <v>228854145</v>
          </cell>
          <cell r="CN5">
            <v>235622088</v>
          </cell>
          <cell r="CO5">
            <v>234033159</v>
          </cell>
          <cell r="CP5">
            <v>231656791</v>
          </cell>
          <cell r="CQ5">
            <v>224418717</v>
          </cell>
          <cell r="CR5">
            <v>214391414</v>
          </cell>
          <cell r="CS5">
            <v>223485502</v>
          </cell>
        </row>
        <row r="7">
          <cell r="CH7">
            <v>8748494</v>
          </cell>
          <cell r="CI7">
            <v>8096426</v>
          </cell>
          <cell r="CJ7">
            <v>8040556</v>
          </cell>
          <cell r="CK7">
            <v>8066270</v>
          </cell>
          <cell r="CL7">
            <v>8342078</v>
          </cell>
          <cell r="CM7">
            <v>8544785</v>
          </cell>
          <cell r="CN7">
            <v>8737517</v>
          </cell>
          <cell r="CO7">
            <v>8758254</v>
          </cell>
          <cell r="CP7">
            <v>8714840</v>
          </cell>
          <cell r="CQ7">
            <v>8470286</v>
          </cell>
          <cell r="CR7">
            <v>8175664</v>
          </cell>
          <cell r="CS7">
            <v>8626388</v>
          </cell>
        </row>
        <row r="9">
          <cell r="CH9">
            <v>129776307</v>
          </cell>
          <cell r="CI9">
            <v>120969654</v>
          </cell>
          <cell r="CJ9">
            <v>122549517</v>
          </cell>
          <cell r="CK9">
            <v>127251752</v>
          </cell>
          <cell r="CL9">
            <v>126487679</v>
          </cell>
          <cell r="CM9">
            <v>131183127</v>
          </cell>
          <cell r="CN9">
            <v>131744731</v>
          </cell>
          <cell r="CO9">
            <v>130774312</v>
          </cell>
          <cell r="CP9">
            <v>133880991</v>
          </cell>
          <cell r="CQ9">
            <v>130123540</v>
          </cell>
          <cell r="CR9">
            <v>133149334</v>
          </cell>
          <cell r="CS9">
            <v>133476256</v>
          </cell>
        </row>
        <row r="11">
          <cell r="CH11">
            <v>477734674</v>
          </cell>
          <cell r="CI11">
            <v>426380896</v>
          </cell>
          <cell r="CJ11">
            <v>441519836</v>
          </cell>
          <cell r="CK11">
            <v>457904970</v>
          </cell>
          <cell r="CL11">
            <v>510939038</v>
          </cell>
          <cell r="CM11">
            <v>546331078</v>
          </cell>
          <cell r="CN11">
            <v>576060551</v>
          </cell>
          <cell r="CO11">
            <v>576056518</v>
          </cell>
          <cell r="CP11">
            <v>559411245</v>
          </cell>
          <cell r="CQ11">
            <v>519858722</v>
          </cell>
          <cell r="CR11">
            <v>469167184</v>
          </cell>
          <cell r="CS11">
            <v>467714034</v>
          </cell>
        </row>
        <row r="13">
          <cell r="CH13">
            <v>5959964</v>
          </cell>
          <cell r="CI13">
            <v>5965344</v>
          </cell>
          <cell r="CJ13">
            <v>5970724</v>
          </cell>
          <cell r="CK13">
            <v>5976642</v>
          </cell>
          <cell r="CL13">
            <v>5982560</v>
          </cell>
          <cell r="CM13">
            <v>5988478</v>
          </cell>
          <cell r="CN13">
            <v>5994396</v>
          </cell>
          <cell r="CO13">
            <v>5999776</v>
          </cell>
          <cell r="CP13">
            <v>6005694</v>
          </cell>
          <cell r="CQ13">
            <v>6011074</v>
          </cell>
          <cell r="CR13">
            <v>6016454</v>
          </cell>
          <cell r="CS13">
            <v>6021834</v>
          </cell>
        </row>
        <row r="15">
          <cell r="CH15">
            <v>2138992638</v>
          </cell>
          <cell r="CI15">
            <v>1887827568</v>
          </cell>
          <cell r="CJ15">
            <v>1943182432</v>
          </cell>
          <cell r="CK15">
            <v>2001623846</v>
          </cell>
          <cell r="CL15">
            <v>2197448399</v>
          </cell>
          <cell r="CM15">
            <v>2314650572</v>
          </cell>
          <cell r="CN15">
            <v>2401781673</v>
          </cell>
          <cell r="CO15">
            <v>2395019699</v>
          </cell>
          <cell r="CP15">
            <v>2371924453</v>
          </cell>
          <cell r="CQ15">
            <v>2243908137</v>
          </cell>
          <cell r="CR15">
            <v>2068813915</v>
          </cell>
          <cell r="CS15">
            <v>2096602525</v>
          </cell>
        </row>
        <row r="17">
          <cell r="CH17">
            <v>875796566</v>
          </cell>
          <cell r="CI17">
            <v>790165118</v>
          </cell>
          <cell r="CJ17">
            <v>809438367</v>
          </cell>
          <cell r="CK17">
            <v>823553649</v>
          </cell>
          <cell r="CL17">
            <v>901636099</v>
          </cell>
          <cell r="CM17">
            <v>927614719</v>
          </cell>
          <cell r="CN17">
            <v>942305481</v>
          </cell>
          <cell r="CO17">
            <v>948990647</v>
          </cell>
          <cell r="CP17">
            <v>951023967</v>
          </cell>
          <cell r="CQ17">
            <v>918177076</v>
          </cell>
          <cell r="CR17">
            <v>848453883</v>
          </cell>
          <cell r="CS17">
            <v>872912018</v>
          </cell>
        </row>
        <row r="19">
          <cell r="CH19">
            <v>213627531</v>
          </cell>
          <cell r="CI19">
            <v>189740138</v>
          </cell>
          <cell r="CJ19">
            <v>194470397</v>
          </cell>
          <cell r="CK19">
            <v>195762380</v>
          </cell>
          <cell r="CL19">
            <v>211226439</v>
          </cell>
          <cell r="CM19">
            <v>222703060</v>
          </cell>
          <cell r="CN19">
            <v>228040124</v>
          </cell>
          <cell r="CO19">
            <v>230797588</v>
          </cell>
          <cell r="CP19">
            <v>224011663</v>
          </cell>
          <cell r="CQ19">
            <v>215206468</v>
          </cell>
          <cell r="CR19">
            <v>203438316</v>
          </cell>
          <cell r="CS19">
            <v>209600438</v>
          </cell>
        </row>
        <row r="21">
          <cell r="CH21">
            <v>15638412</v>
          </cell>
          <cell r="CI21">
            <v>16986413</v>
          </cell>
          <cell r="CJ21">
            <v>15415866</v>
          </cell>
          <cell r="CK21">
            <v>15654846</v>
          </cell>
          <cell r="CL21">
            <v>16622558</v>
          </cell>
          <cell r="CM21">
            <v>16545433</v>
          </cell>
          <cell r="CN21">
            <v>14093516</v>
          </cell>
          <cell r="CO21">
            <v>14566998</v>
          </cell>
          <cell r="CP21">
            <v>13130840</v>
          </cell>
          <cell r="CQ21">
            <v>13523094</v>
          </cell>
          <cell r="CR21">
            <v>12304043</v>
          </cell>
          <cell r="CS21">
            <v>13360579</v>
          </cell>
        </row>
        <row r="23">
          <cell r="CH23">
            <v>7730472</v>
          </cell>
          <cell r="CI23">
            <v>7048978</v>
          </cell>
          <cell r="CJ23">
            <v>6644050</v>
          </cell>
          <cell r="CK23">
            <v>7727409</v>
          </cell>
          <cell r="CL23">
            <v>7814013</v>
          </cell>
          <cell r="CM23">
            <v>7713606</v>
          </cell>
          <cell r="CN23">
            <v>8101036</v>
          </cell>
          <cell r="CO23">
            <v>8154768</v>
          </cell>
          <cell r="CP23">
            <v>8090481</v>
          </cell>
          <cell r="CQ23">
            <v>8009708</v>
          </cell>
          <cell r="CR23">
            <v>7265404</v>
          </cell>
          <cell r="CS23">
            <v>6924794</v>
          </cell>
        </row>
        <row r="25">
          <cell r="CH25">
            <v>8083148</v>
          </cell>
          <cell r="CI25">
            <v>8079084</v>
          </cell>
          <cell r="CJ25">
            <v>8075020</v>
          </cell>
          <cell r="CK25">
            <v>8070956</v>
          </cell>
          <cell r="CL25">
            <v>8066892</v>
          </cell>
          <cell r="CM25">
            <v>8062828</v>
          </cell>
          <cell r="CN25">
            <v>8058764</v>
          </cell>
          <cell r="CO25">
            <v>8054700</v>
          </cell>
          <cell r="CP25">
            <v>8050636</v>
          </cell>
          <cell r="CQ25">
            <v>8046572</v>
          </cell>
          <cell r="CR25">
            <v>8042508</v>
          </cell>
          <cell r="CS25">
            <v>8038444</v>
          </cell>
        </row>
        <row r="27">
          <cell r="CH27">
            <v>863616</v>
          </cell>
          <cell r="CI27">
            <v>977832</v>
          </cell>
          <cell r="CJ27">
            <v>1047344</v>
          </cell>
          <cell r="CK27">
            <v>902199</v>
          </cell>
          <cell r="CL27">
            <v>859993</v>
          </cell>
          <cell r="CM27">
            <v>821101</v>
          </cell>
          <cell r="CN27">
            <v>712029</v>
          </cell>
          <cell r="CO27">
            <v>717170</v>
          </cell>
          <cell r="CP27">
            <v>906498</v>
          </cell>
          <cell r="CQ27">
            <v>932342</v>
          </cell>
          <cell r="CR27">
            <v>1072765</v>
          </cell>
          <cell r="CS27">
            <v>939470</v>
          </cell>
        </row>
        <row r="29">
          <cell r="CH29">
            <v>4525111766</v>
          </cell>
          <cell r="CI29">
            <v>3998961139</v>
          </cell>
          <cell r="CJ29">
            <v>3926403273</v>
          </cell>
          <cell r="CK29">
            <v>4032345112</v>
          </cell>
          <cell r="CL29">
            <v>4699280049</v>
          </cell>
          <cell r="CM29">
            <v>5357293424</v>
          </cell>
          <cell r="CN29">
            <v>5828519755</v>
          </cell>
          <cell r="CO29">
            <v>5958611537</v>
          </cell>
          <cell r="CP29">
            <v>5776173459</v>
          </cell>
          <cell r="CQ29">
            <v>5194842893</v>
          </cell>
          <cell r="CR29">
            <v>4296089359</v>
          </cell>
          <cell r="CS29">
            <v>4136816743</v>
          </cell>
        </row>
        <row r="31">
          <cell r="CH31">
            <v>50857468</v>
          </cell>
          <cell r="CI31">
            <v>47107456</v>
          </cell>
          <cell r="CJ31">
            <v>47360377</v>
          </cell>
          <cell r="CK31">
            <v>48900747</v>
          </cell>
          <cell r="CL31">
            <v>48692418</v>
          </cell>
          <cell r="CM31">
            <v>46042783</v>
          </cell>
          <cell r="CN31">
            <v>47615814</v>
          </cell>
          <cell r="CO31">
            <v>54323381</v>
          </cell>
          <cell r="CP31">
            <v>48136071</v>
          </cell>
          <cell r="CQ31">
            <v>45392584</v>
          </cell>
          <cell r="CR31">
            <v>44936865</v>
          </cell>
          <cell r="CS31">
            <v>51647326</v>
          </cell>
        </row>
        <row r="33">
          <cell r="CH33">
            <v>2813683</v>
          </cell>
          <cell r="CI33">
            <v>2819697</v>
          </cell>
          <cell r="CJ33">
            <v>2827589</v>
          </cell>
          <cell r="CK33">
            <v>2830598</v>
          </cell>
          <cell r="CL33">
            <v>2839442</v>
          </cell>
          <cell r="CM33">
            <v>2844340</v>
          </cell>
          <cell r="CN33">
            <v>2850368</v>
          </cell>
          <cell r="CO33">
            <v>2853382</v>
          </cell>
          <cell r="CP33">
            <v>2857514</v>
          </cell>
          <cell r="CQ33">
            <v>2865438</v>
          </cell>
          <cell r="CR33">
            <v>2869403</v>
          </cell>
          <cell r="CS33">
            <v>2873527</v>
          </cell>
        </row>
        <row r="35">
          <cell r="CH35">
            <v>602856</v>
          </cell>
          <cell r="CI35">
            <v>685784</v>
          </cell>
          <cell r="CJ35">
            <v>666585</v>
          </cell>
          <cell r="CK35">
            <v>1230699</v>
          </cell>
          <cell r="CL35">
            <v>1462083</v>
          </cell>
          <cell r="CM35">
            <v>1187857</v>
          </cell>
          <cell r="CN35">
            <v>1087713</v>
          </cell>
          <cell r="CO35">
            <v>1181803</v>
          </cell>
          <cell r="CP35">
            <v>1205075</v>
          </cell>
          <cell r="CQ35">
            <v>1239312</v>
          </cell>
          <cell r="CR35">
            <v>799615</v>
          </cell>
          <cell r="CS35">
            <v>507544</v>
          </cell>
        </row>
        <row r="37">
          <cell r="CH37">
            <v>5811710</v>
          </cell>
          <cell r="CI37">
            <v>6787344</v>
          </cell>
          <cell r="CJ37">
            <v>8318048</v>
          </cell>
          <cell r="CK37">
            <v>7683818</v>
          </cell>
          <cell r="CL37">
            <v>10687136</v>
          </cell>
          <cell r="CM37">
            <v>7415962</v>
          </cell>
          <cell r="CN37">
            <v>7202482</v>
          </cell>
          <cell r="CO37">
            <v>6421378</v>
          </cell>
          <cell r="CP37">
            <v>4740820</v>
          </cell>
          <cell r="CQ37">
            <v>9837782</v>
          </cell>
          <cell r="CR37">
            <v>9758504</v>
          </cell>
          <cell r="CS37">
            <v>5002770</v>
          </cell>
        </row>
      </sheetData>
      <sheetData sheetId="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ecast Summary by Rate Code"/>
      <sheetName val="Scenario Info"/>
    </sheetNames>
    <sheetDataSet>
      <sheetData sheetId="0">
        <row r="5">
          <cell r="CH5">
            <v>230158924</v>
          </cell>
          <cell r="CT5">
            <v>229918390</v>
          </cell>
          <cell r="CU5">
            <v>214677814</v>
          </cell>
          <cell r="CV5">
            <v>215223137</v>
          </cell>
          <cell r="CW5">
            <v>215051898</v>
          </cell>
          <cell r="CX5">
            <v>221410051</v>
          </cell>
          <cell r="CY5">
            <v>228853870</v>
          </cell>
          <cell r="CZ5">
            <v>235514836</v>
          </cell>
          <cell r="DA5">
            <v>233872387</v>
          </cell>
          <cell r="DB5">
            <v>231426150</v>
          </cell>
          <cell r="DC5">
            <v>224342688</v>
          </cell>
          <cell r="DD5">
            <v>214466707</v>
          </cell>
          <cell r="DE5">
            <v>223664780</v>
          </cell>
        </row>
        <row r="7">
          <cell r="CT7">
            <v>8732867</v>
          </cell>
          <cell r="CU7">
            <v>8193284</v>
          </cell>
          <cell r="CV7">
            <v>8111590</v>
          </cell>
          <cell r="CW7">
            <v>8071138</v>
          </cell>
          <cell r="CX7">
            <v>8341853</v>
          </cell>
          <cell r="CY7">
            <v>8540993</v>
          </cell>
          <cell r="CZ7">
            <v>8730305</v>
          </cell>
          <cell r="DA7">
            <v>8748830</v>
          </cell>
          <cell r="DB7">
            <v>8702531</v>
          </cell>
          <cell r="DC7">
            <v>8463522</v>
          </cell>
          <cell r="DD7">
            <v>8174714</v>
          </cell>
          <cell r="DE7">
            <v>8629828</v>
          </cell>
        </row>
        <row r="9">
          <cell r="CT9">
            <v>131170459</v>
          </cell>
          <cell r="CU9">
            <v>122452433</v>
          </cell>
          <cell r="CV9">
            <v>123984827</v>
          </cell>
          <cell r="CW9">
            <v>128585419</v>
          </cell>
          <cell r="CX9">
            <v>127561689</v>
          </cell>
          <cell r="CY9">
            <v>132249385</v>
          </cell>
          <cell r="CZ9">
            <v>132768704</v>
          </cell>
          <cell r="DA9">
            <v>131737754</v>
          </cell>
          <cell r="DB9">
            <v>134839083</v>
          </cell>
          <cell r="DC9">
            <v>131066658</v>
          </cell>
          <cell r="DD9">
            <v>134122057</v>
          </cell>
          <cell r="DE9">
            <v>134424674</v>
          </cell>
        </row>
        <row r="11">
          <cell r="CT11">
            <v>480177739</v>
          </cell>
          <cell r="CU11">
            <v>436296247</v>
          </cell>
          <cell r="CV11">
            <v>449968468</v>
          </cell>
          <cell r="CW11">
            <v>461643789</v>
          </cell>
          <cell r="CX11">
            <v>515172996</v>
          </cell>
          <cell r="CY11">
            <v>550605770</v>
          </cell>
          <cell r="CZ11">
            <v>580274215</v>
          </cell>
          <cell r="DA11">
            <v>580098266</v>
          </cell>
          <cell r="DB11">
            <v>563114221</v>
          </cell>
          <cell r="DC11">
            <v>523689141</v>
          </cell>
          <cell r="DD11">
            <v>472998302</v>
          </cell>
          <cell r="DE11">
            <v>471893674</v>
          </cell>
        </row>
        <row r="13">
          <cell r="CT13">
            <v>6026676</v>
          </cell>
          <cell r="CU13">
            <v>6032594</v>
          </cell>
          <cell r="CV13">
            <v>6037974</v>
          </cell>
          <cell r="CW13">
            <v>6043892</v>
          </cell>
          <cell r="CX13">
            <v>6049810</v>
          </cell>
          <cell r="CY13">
            <v>6055190</v>
          </cell>
          <cell r="CZ13">
            <v>6060570</v>
          </cell>
          <cell r="DA13">
            <v>6065950</v>
          </cell>
          <cell r="DB13">
            <v>6071330</v>
          </cell>
          <cell r="DC13">
            <v>6076710</v>
          </cell>
          <cell r="DD13">
            <v>6082090</v>
          </cell>
          <cell r="DE13">
            <v>6087470</v>
          </cell>
        </row>
        <row r="15">
          <cell r="CT15">
            <v>2149445552</v>
          </cell>
          <cell r="CU15">
            <v>1931479704</v>
          </cell>
          <cell r="CV15">
            <v>1980039101</v>
          </cell>
          <cell r="CW15">
            <v>2017550960</v>
          </cell>
          <cell r="CX15">
            <v>2215167167</v>
          </cell>
          <cell r="CY15">
            <v>2332379263</v>
          </cell>
          <cell r="CZ15">
            <v>2418916839</v>
          </cell>
          <cell r="DA15">
            <v>2411525543</v>
          </cell>
          <cell r="DB15">
            <v>2387180143</v>
          </cell>
          <cell r="DC15">
            <v>2259938405</v>
          </cell>
          <cell r="DD15">
            <v>2085272507</v>
          </cell>
          <cell r="DE15">
            <v>2114905590</v>
          </cell>
        </row>
        <row r="17">
          <cell r="CT17">
            <v>879808697</v>
          </cell>
          <cell r="CU17">
            <v>808351144</v>
          </cell>
          <cell r="CV17">
            <v>824602166</v>
          </cell>
          <cell r="CW17">
            <v>829737565</v>
          </cell>
          <cell r="CX17">
            <v>909236431</v>
          </cell>
          <cell r="CY17">
            <v>935252148</v>
          </cell>
          <cell r="CZ17">
            <v>949214592</v>
          </cell>
          <cell r="DA17">
            <v>955903680</v>
          </cell>
          <cell r="DB17">
            <v>957414276</v>
          </cell>
          <cell r="DC17">
            <v>925257314</v>
          </cell>
          <cell r="DD17">
            <v>855671750</v>
          </cell>
          <cell r="DE17">
            <v>880783131</v>
          </cell>
        </row>
        <row r="19">
          <cell r="CT19">
            <v>215852966</v>
          </cell>
          <cell r="CU19">
            <v>193932212</v>
          </cell>
          <cell r="CV19">
            <v>197988389</v>
          </cell>
          <cell r="CW19">
            <v>198369255</v>
          </cell>
          <cell r="CX19">
            <v>211946406</v>
          </cell>
          <cell r="CY19">
            <v>223383370</v>
          </cell>
          <cell r="CZ19">
            <v>228656710</v>
          </cell>
          <cell r="DA19">
            <v>231363991</v>
          </cell>
          <cell r="DB19">
            <v>224456590</v>
          </cell>
          <cell r="DC19">
            <v>215786146</v>
          </cell>
          <cell r="DD19">
            <v>204117666</v>
          </cell>
          <cell r="DE19">
            <v>210456354</v>
          </cell>
        </row>
        <row r="21">
          <cell r="CT21">
            <v>15808595</v>
          </cell>
          <cell r="CU21">
            <v>17186934</v>
          </cell>
          <cell r="CV21">
            <v>15582010</v>
          </cell>
          <cell r="CW21">
            <v>15810777</v>
          </cell>
          <cell r="CX21">
            <v>16778277</v>
          </cell>
          <cell r="CY21">
            <v>16674491</v>
          </cell>
          <cell r="CZ21">
            <v>14195787</v>
          </cell>
          <cell r="DA21">
            <v>14668502</v>
          </cell>
          <cell r="DB21">
            <v>13220144</v>
          </cell>
          <cell r="DC21">
            <v>13616671</v>
          </cell>
          <cell r="DD21">
            <v>12390464</v>
          </cell>
          <cell r="DE21">
            <v>13453708</v>
          </cell>
        </row>
        <row r="23">
          <cell r="CT23">
            <v>7734464</v>
          </cell>
          <cell r="CU23">
            <v>7056886</v>
          </cell>
          <cell r="CV23">
            <v>6638625</v>
          </cell>
          <cell r="CW23">
            <v>7704845</v>
          </cell>
          <cell r="CX23">
            <v>7837769</v>
          </cell>
          <cell r="CY23">
            <v>7717522</v>
          </cell>
          <cell r="CZ23">
            <v>8109331</v>
          </cell>
          <cell r="DA23">
            <v>8147476</v>
          </cell>
          <cell r="DB23">
            <v>8085968</v>
          </cell>
          <cell r="DC23">
            <v>8008819</v>
          </cell>
          <cell r="DD23">
            <v>7268247</v>
          </cell>
          <cell r="DE23">
            <v>6922978</v>
          </cell>
        </row>
        <row r="25">
          <cell r="CT25">
            <v>8034380</v>
          </cell>
          <cell r="CU25">
            <v>8030316</v>
          </cell>
          <cell r="CV25">
            <v>8026252</v>
          </cell>
          <cell r="CW25">
            <v>8022188</v>
          </cell>
          <cell r="CX25">
            <v>8018124</v>
          </cell>
          <cell r="CY25">
            <v>8014060</v>
          </cell>
          <cell r="CZ25">
            <v>8009996</v>
          </cell>
          <cell r="DA25">
            <v>8005932</v>
          </cell>
          <cell r="DB25">
            <v>8001868</v>
          </cell>
          <cell r="DC25">
            <v>7997804</v>
          </cell>
          <cell r="DD25">
            <v>7993740</v>
          </cell>
          <cell r="DE25">
            <v>7989676</v>
          </cell>
        </row>
        <row r="27">
          <cell r="CT27">
            <v>861411</v>
          </cell>
          <cell r="CU27">
            <v>976459</v>
          </cell>
          <cell r="CV27">
            <v>1045406</v>
          </cell>
          <cell r="CW27">
            <v>899095</v>
          </cell>
          <cell r="CX27">
            <v>859463</v>
          </cell>
          <cell r="CY27">
            <v>819781</v>
          </cell>
          <cell r="CZ27">
            <v>710858</v>
          </cell>
          <cell r="DA27">
            <v>715547</v>
          </cell>
          <cell r="DB27">
            <v>905369</v>
          </cell>
          <cell r="DC27">
            <v>930298</v>
          </cell>
          <cell r="DD27">
            <v>1071211</v>
          </cell>
          <cell r="DE27">
            <v>937084</v>
          </cell>
        </row>
        <row r="29">
          <cell r="CT29">
            <v>4568799189</v>
          </cell>
          <cell r="CU29">
            <v>4103338599</v>
          </cell>
          <cell r="CV29">
            <v>4013865003</v>
          </cell>
          <cell r="CW29">
            <v>4079429507</v>
          </cell>
          <cell r="CX29">
            <v>4752561456</v>
          </cell>
          <cell r="CY29">
            <v>5412613233</v>
          </cell>
          <cell r="CZ29">
            <v>5885296264</v>
          </cell>
          <cell r="DA29">
            <v>6014767458</v>
          </cell>
          <cell r="DB29">
            <v>5832769790</v>
          </cell>
          <cell r="DC29">
            <v>5246382284</v>
          </cell>
          <cell r="DD29">
            <v>4343151666</v>
          </cell>
          <cell r="DE29">
            <v>4187296047</v>
          </cell>
        </row>
        <row r="31">
          <cell r="CT31">
            <v>51747225</v>
          </cell>
          <cell r="CU31">
            <v>48087798</v>
          </cell>
          <cell r="CV31">
            <v>48309489</v>
          </cell>
          <cell r="CW31">
            <v>49780847</v>
          </cell>
          <cell r="CX31">
            <v>49567554</v>
          </cell>
          <cell r="CY31">
            <v>46854836</v>
          </cell>
          <cell r="CZ31">
            <v>48453240</v>
          </cell>
          <cell r="DA31">
            <v>55294425</v>
          </cell>
          <cell r="DB31">
            <v>48979232</v>
          </cell>
          <cell r="DC31">
            <v>46187364</v>
          </cell>
          <cell r="DD31">
            <v>45724125</v>
          </cell>
          <cell r="DE31">
            <v>52567777</v>
          </cell>
        </row>
        <row r="33">
          <cell r="CT33">
            <v>2870816</v>
          </cell>
          <cell r="CU33">
            <v>2876830</v>
          </cell>
          <cell r="CV33">
            <v>2881751</v>
          </cell>
          <cell r="CW33">
            <v>2887769</v>
          </cell>
          <cell r="CX33">
            <v>2896670</v>
          </cell>
          <cell r="CY33">
            <v>2901606</v>
          </cell>
          <cell r="CZ33">
            <v>2907634</v>
          </cell>
          <cell r="DA33">
            <v>2910648</v>
          </cell>
          <cell r="DB33">
            <v>2914742</v>
          </cell>
          <cell r="DC33">
            <v>2919690</v>
          </cell>
          <cell r="DD33">
            <v>2926688</v>
          </cell>
          <cell r="DE33">
            <v>2930774</v>
          </cell>
        </row>
        <row r="35">
          <cell r="CT35">
            <v>602856</v>
          </cell>
          <cell r="CU35">
            <v>685784</v>
          </cell>
          <cell r="CV35">
            <v>666585</v>
          </cell>
          <cell r="CW35">
            <v>1230699</v>
          </cell>
          <cell r="CX35">
            <v>1462083</v>
          </cell>
          <cell r="CY35">
            <v>1187857</v>
          </cell>
          <cell r="CZ35">
            <v>1087713</v>
          </cell>
          <cell r="DA35">
            <v>1181803</v>
          </cell>
          <cell r="DB35">
            <v>1205075</v>
          </cell>
          <cell r="DC35">
            <v>1239312</v>
          </cell>
          <cell r="DD35">
            <v>799615</v>
          </cell>
          <cell r="DE35">
            <v>507544</v>
          </cell>
        </row>
        <row r="37">
          <cell r="CT37">
            <v>5811710</v>
          </cell>
          <cell r="CU37">
            <v>6787344</v>
          </cell>
          <cell r="CV37">
            <v>8318048</v>
          </cell>
          <cell r="CW37">
            <v>7683818</v>
          </cell>
          <cell r="CX37">
            <v>10687136</v>
          </cell>
          <cell r="CY37">
            <v>7415962</v>
          </cell>
          <cell r="CZ37">
            <v>7202482</v>
          </cell>
          <cell r="DA37">
            <v>6421378</v>
          </cell>
          <cell r="DB37">
            <v>4740820</v>
          </cell>
          <cell r="DC37">
            <v>9837782</v>
          </cell>
          <cell r="DD37">
            <v>9758504</v>
          </cell>
          <cell r="DE37">
            <v>5002770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5"/>
  <sheetViews>
    <sheetView tabSelected="1" topLeftCell="N1" zoomScaleNormal="100" workbookViewId="0">
      <selection activeCell="N1" sqref="N1:N2"/>
    </sheetView>
  </sheetViews>
  <sheetFormatPr defaultColWidth="9.109375" defaultRowHeight="13.8" x14ac:dyDescent="0.3"/>
  <cols>
    <col min="1" max="1" width="0" style="51" hidden="1" customWidth="1"/>
    <col min="2" max="2" width="13.6640625" style="51" hidden="1" customWidth="1"/>
    <col min="3" max="3" width="31.33203125" style="51" customWidth="1"/>
    <col min="4" max="4" width="14.88671875" style="51" customWidth="1"/>
    <col min="5" max="5" width="15" style="51" bestFit="1" customWidth="1"/>
    <col min="6" max="6" width="12" style="51" bestFit="1" customWidth="1"/>
    <col min="7" max="7" width="11.109375" style="51" customWidth="1"/>
    <col min="8" max="8" width="12.88671875" style="51" customWidth="1"/>
    <col min="9" max="9" width="15" style="51" bestFit="1" customWidth="1"/>
    <col min="10" max="10" width="10.44140625" style="51" bestFit="1" customWidth="1"/>
    <col min="11" max="11" width="9.44140625" style="51" bestFit="1" customWidth="1"/>
    <col min="12" max="12" width="10.44140625" style="51" bestFit="1" customWidth="1"/>
    <col min="13" max="13" width="4.6640625" style="51" customWidth="1"/>
    <col min="14" max="14" width="32.33203125" style="51" customWidth="1"/>
    <col min="15" max="15" width="32.5546875" style="51" hidden="1" customWidth="1"/>
    <col min="16" max="16" width="12.88671875" style="51" customWidth="1"/>
    <col min="17" max="17" width="19.33203125" style="51" customWidth="1"/>
    <col min="18" max="19" width="12.44140625" style="51" bestFit="1" customWidth="1"/>
    <col min="20" max="20" width="15.5546875" style="51" bestFit="1" customWidth="1"/>
    <col min="21" max="21" width="15" style="51" bestFit="1" customWidth="1"/>
    <col min="22" max="22" width="10.88671875" style="51" bestFit="1" customWidth="1"/>
    <col min="23" max="23" width="12.44140625" style="51" bestFit="1" customWidth="1"/>
    <col min="24" max="24" width="8" style="51" bestFit="1" customWidth="1"/>
    <col min="25" max="25" width="9" style="51" bestFit="1" customWidth="1"/>
    <col min="26" max="27" width="6.5546875" style="51" bestFit="1" customWidth="1"/>
    <col min="28" max="16384" width="9.109375" style="51"/>
  </cols>
  <sheetData>
    <row r="1" spans="1:30" s="73" customFormat="1" x14ac:dyDescent="0.3">
      <c r="N1" s="73" t="s">
        <v>119</v>
      </c>
    </row>
    <row r="2" spans="1:30" s="73" customFormat="1" x14ac:dyDescent="0.3">
      <c r="N2" s="73" t="s">
        <v>120</v>
      </c>
    </row>
    <row r="3" spans="1:30" s="73" customFormat="1" x14ac:dyDescent="0.3"/>
    <row r="4" spans="1:30" x14ac:dyDescent="0.3">
      <c r="B4" s="36">
        <f>[1]MET!$B$18</f>
        <v>0</v>
      </c>
      <c r="C4" s="36"/>
      <c r="D4" s="37" t="s">
        <v>2</v>
      </c>
      <c r="E4" s="37" t="s">
        <v>3</v>
      </c>
      <c r="F4" s="37" t="s">
        <v>4</v>
      </c>
      <c r="G4" s="37" t="s">
        <v>5</v>
      </c>
      <c r="H4" s="37" t="s">
        <v>6</v>
      </c>
      <c r="I4" s="37" t="s">
        <v>7</v>
      </c>
      <c r="J4" s="37" t="s">
        <v>8</v>
      </c>
      <c r="K4" s="37" t="s">
        <v>9</v>
      </c>
      <c r="L4" s="37" t="s">
        <v>10</v>
      </c>
      <c r="M4" s="36"/>
      <c r="N4" s="36"/>
      <c r="O4" s="36"/>
      <c r="P4" s="37" t="s">
        <v>2</v>
      </c>
      <c r="Q4" s="37" t="s">
        <v>3</v>
      </c>
      <c r="R4" s="37" t="s">
        <v>4</v>
      </c>
      <c r="S4" s="37" t="s">
        <v>5</v>
      </c>
      <c r="T4" s="37" t="s">
        <v>6</v>
      </c>
      <c r="U4" s="37" t="s">
        <v>7</v>
      </c>
      <c r="V4" s="37" t="s">
        <v>8</v>
      </c>
      <c r="W4" s="37" t="s">
        <v>9</v>
      </c>
      <c r="X4" s="37" t="s">
        <v>10</v>
      </c>
      <c r="Y4" s="37" t="s">
        <v>11</v>
      </c>
    </row>
    <row r="5" spans="1:30" x14ac:dyDescent="0.3">
      <c r="B5" s="36"/>
      <c r="C5" s="36"/>
      <c r="D5" s="37" t="s">
        <v>12</v>
      </c>
      <c r="E5" s="37" t="s">
        <v>13</v>
      </c>
      <c r="F5" s="37" t="s">
        <v>13</v>
      </c>
      <c r="G5" s="37" t="s">
        <v>14</v>
      </c>
      <c r="H5" s="37" t="s">
        <v>15</v>
      </c>
      <c r="I5" s="37" t="s">
        <v>13</v>
      </c>
      <c r="J5" s="37" t="s">
        <v>13</v>
      </c>
      <c r="K5" s="37" t="s">
        <v>16</v>
      </c>
      <c r="L5" s="37" t="s">
        <v>16</v>
      </c>
      <c r="M5" s="36"/>
      <c r="N5" s="36"/>
      <c r="O5" s="36"/>
      <c r="P5" s="37" t="s">
        <v>16</v>
      </c>
      <c r="Q5" s="37" t="s">
        <v>16</v>
      </c>
      <c r="R5" s="37" t="s">
        <v>15</v>
      </c>
      <c r="S5" s="37" t="s">
        <v>14</v>
      </c>
      <c r="T5" s="37" t="s">
        <v>17</v>
      </c>
      <c r="U5" s="37" t="s">
        <v>13</v>
      </c>
      <c r="V5" s="37" t="s">
        <v>18</v>
      </c>
      <c r="W5" s="37" t="s">
        <v>19</v>
      </c>
      <c r="X5" s="37" t="s">
        <v>20</v>
      </c>
      <c r="Y5" s="37" t="s">
        <v>20</v>
      </c>
    </row>
    <row r="6" spans="1:30" x14ac:dyDescent="0.3">
      <c r="B6" s="36"/>
      <c r="C6" s="38" t="s">
        <v>21</v>
      </c>
      <c r="D6" s="37" t="s">
        <v>22</v>
      </c>
      <c r="E6" s="37" t="s">
        <v>23</v>
      </c>
      <c r="F6" s="37" t="s">
        <v>24</v>
      </c>
      <c r="G6" s="37" t="s">
        <v>25</v>
      </c>
      <c r="H6" s="37" t="s">
        <v>25</v>
      </c>
      <c r="I6" s="37" t="s">
        <v>23</v>
      </c>
      <c r="J6" s="37" t="s">
        <v>24</v>
      </c>
      <c r="K6" s="37" t="s">
        <v>26</v>
      </c>
      <c r="L6" s="37" t="s">
        <v>27</v>
      </c>
      <c r="M6" s="36"/>
      <c r="N6" s="38" t="s">
        <v>21</v>
      </c>
      <c r="O6" s="38"/>
      <c r="P6" s="37" t="s">
        <v>26</v>
      </c>
      <c r="Q6" s="37" t="s">
        <v>27</v>
      </c>
      <c r="R6" s="37" t="s">
        <v>28</v>
      </c>
      <c r="S6" s="37" t="s">
        <v>28</v>
      </c>
      <c r="T6" s="37" t="s">
        <v>20</v>
      </c>
      <c r="U6" s="37" t="s">
        <v>23</v>
      </c>
      <c r="V6" s="37" t="s">
        <v>22</v>
      </c>
      <c r="W6" s="37" t="s">
        <v>29</v>
      </c>
      <c r="X6" s="37" t="s">
        <v>30</v>
      </c>
      <c r="Y6" s="37" t="s">
        <v>30</v>
      </c>
    </row>
    <row r="7" spans="1:30" x14ac:dyDescent="0.3">
      <c r="B7" s="36"/>
      <c r="C7" s="36"/>
      <c r="D7" s="37" t="s">
        <v>31</v>
      </c>
      <c r="E7" s="37" t="s">
        <v>32</v>
      </c>
      <c r="F7" s="37" t="s">
        <v>31</v>
      </c>
      <c r="G7" s="37" t="s">
        <v>33</v>
      </c>
      <c r="H7" s="37" t="s">
        <v>33</v>
      </c>
      <c r="I7" s="37" t="s">
        <v>34</v>
      </c>
      <c r="J7" s="37" t="s">
        <v>35</v>
      </c>
      <c r="K7" s="37" t="s">
        <v>34</v>
      </c>
      <c r="L7" s="37" t="s">
        <v>34</v>
      </c>
      <c r="M7" s="36"/>
      <c r="N7" s="36"/>
      <c r="O7" s="36"/>
      <c r="P7" s="37" t="s">
        <v>34</v>
      </c>
      <c r="Q7" s="37" t="s">
        <v>34</v>
      </c>
      <c r="R7" s="39">
        <v>0.25</v>
      </c>
      <c r="S7" s="39">
        <v>0.75</v>
      </c>
      <c r="T7" s="37" t="s">
        <v>36</v>
      </c>
      <c r="U7" s="37" t="s">
        <v>32</v>
      </c>
      <c r="V7" s="40"/>
      <c r="W7" s="37" t="s">
        <v>31</v>
      </c>
      <c r="X7" s="37" t="s">
        <v>37</v>
      </c>
      <c r="Y7" s="37" t="s">
        <v>37</v>
      </c>
      <c r="Z7" s="37" t="s">
        <v>111</v>
      </c>
      <c r="AA7" s="37" t="s">
        <v>112</v>
      </c>
    </row>
    <row r="8" spans="1:30" x14ac:dyDescent="0.3">
      <c r="B8" s="36"/>
      <c r="C8" s="36"/>
      <c r="D8" s="37" t="s">
        <v>38</v>
      </c>
      <c r="E8" s="37" t="s">
        <v>39</v>
      </c>
      <c r="F8" s="37" t="s">
        <v>40</v>
      </c>
      <c r="G8" s="37" t="s">
        <v>37</v>
      </c>
      <c r="H8" s="37" t="s">
        <v>37</v>
      </c>
      <c r="I8" s="37" t="s">
        <v>39</v>
      </c>
      <c r="J8" s="37" t="s">
        <v>40</v>
      </c>
      <c r="K8" s="37" t="s">
        <v>38</v>
      </c>
      <c r="L8" s="37" t="s">
        <v>38</v>
      </c>
      <c r="M8" s="36"/>
      <c r="N8" s="36"/>
      <c r="O8" s="36"/>
      <c r="P8" s="37" t="s">
        <v>38</v>
      </c>
      <c r="Q8" s="37" t="s">
        <v>38</v>
      </c>
      <c r="R8" s="37" t="s">
        <v>41</v>
      </c>
      <c r="S8" s="37" t="s">
        <v>41</v>
      </c>
      <c r="T8" s="37" t="s">
        <v>41</v>
      </c>
      <c r="U8" s="37" t="s">
        <v>39</v>
      </c>
      <c r="V8" s="37" t="s">
        <v>38</v>
      </c>
      <c r="W8" s="37" t="s">
        <v>42</v>
      </c>
      <c r="X8" s="37" t="s">
        <v>43</v>
      </c>
      <c r="Y8" s="37" t="s">
        <v>44</v>
      </c>
      <c r="Z8" s="37" t="s">
        <v>44</v>
      </c>
      <c r="AA8" s="37" t="s">
        <v>44</v>
      </c>
    </row>
    <row r="9" spans="1:30" x14ac:dyDescent="0.3"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</row>
    <row r="10" spans="1:30" x14ac:dyDescent="0.3">
      <c r="A10" s="51" t="s">
        <v>45</v>
      </c>
      <c r="B10" s="36" t="s">
        <v>45</v>
      </c>
      <c r="C10" s="38" t="s">
        <v>46</v>
      </c>
      <c r="D10" s="52">
        <f>'[1]RS(T)-1'!$Q$60</f>
        <v>0.58936595074446629</v>
      </c>
      <c r="E10" s="53">
        <f>SUM('[1]Sales Forecast'!$O$16:$Z$16)</f>
        <v>56993678507</v>
      </c>
      <c r="F10" s="54">
        <f>ROUND(E10/(8760*D10),0)</f>
        <v>11039198</v>
      </c>
      <c r="G10" s="55">
        <f>[2]LLS_12CP_Demand_Losses_by_Rate!$C$60</f>
        <v>1.0644100692852212</v>
      </c>
      <c r="H10" s="55">
        <f>[2]LLS_Energy_Losses_by_Rate_Clas!$C$59</f>
        <v>1.0486289832939273</v>
      </c>
      <c r="I10" s="56">
        <f>E10*H10</f>
        <v>59765223146.976364</v>
      </c>
      <c r="J10" s="56">
        <f>F10*G10</f>
        <v>11750233.508033276</v>
      </c>
      <c r="K10" s="57">
        <f>I10/$I$25</f>
        <v>0.5319494026854984</v>
      </c>
      <c r="L10" s="41">
        <f>J10/$J$25</f>
        <v>0.58903487746512939</v>
      </c>
      <c r="M10" s="36"/>
      <c r="N10" s="38" t="s">
        <v>46</v>
      </c>
      <c r="O10" s="58" t="s">
        <v>45</v>
      </c>
      <c r="P10" s="41">
        <f>K10</f>
        <v>0.5319494026854984</v>
      </c>
      <c r="Q10" s="41">
        <f>L10</f>
        <v>0.58903487746512939</v>
      </c>
      <c r="R10" s="59">
        <f>ROUND(+P10*($T$25*0.25),0)</f>
        <v>44301494</v>
      </c>
      <c r="S10" s="59">
        <f>ROUND(+Q10*($T$25*0.75),0)</f>
        <v>147166956</v>
      </c>
      <c r="T10" s="59">
        <f>R10+S10</f>
        <v>191468450</v>
      </c>
      <c r="U10" s="56">
        <f>E10</f>
        <v>56993678507</v>
      </c>
      <c r="V10" s="42"/>
      <c r="W10" s="37" t="s">
        <v>47</v>
      </c>
      <c r="X10" s="37" t="s">
        <v>47</v>
      </c>
      <c r="Y10" s="50">
        <f>ROUND(T10/U10,5)</f>
        <v>3.3600000000000001E-3</v>
      </c>
      <c r="AC10" s="37"/>
      <c r="AD10" s="43"/>
    </row>
    <row r="11" spans="1:30" x14ac:dyDescent="0.3">
      <c r="A11" s="51" t="s">
        <v>48</v>
      </c>
      <c r="B11" s="36" t="s">
        <v>48</v>
      </c>
      <c r="C11" s="38" t="s">
        <v>49</v>
      </c>
      <c r="D11" s="52">
        <f>'[1]GS(T)-1'!$Q$61</f>
        <v>0.64794684276047299</v>
      </c>
      <c r="E11" s="53">
        <f>SUM('[1]Sales Forecast'!$O$7:$Z$7)</f>
        <v>5968792122</v>
      </c>
      <c r="F11" s="54">
        <f>ROUND(E11/(8760*D11),0)</f>
        <v>1051582</v>
      </c>
      <c r="G11" s="55">
        <f>[2]LLS_12CP_Demand_Losses_by_Rate!$C$18</f>
        <v>1.0644100686811759</v>
      </c>
      <c r="H11" s="55">
        <f>[2]LLS_Energy_Losses_by_Rate_Clas!$C$18</f>
        <v>1.0486289832939273</v>
      </c>
      <c r="I11" s="56">
        <f t="shared" ref="I11:I23" si="0">E11*H11</f>
        <v>6259048414.385663</v>
      </c>
      <c r="J11" s="56">
        <f t="shared" ref="J11:J23" si="1">F11*G11</f>
        <v>1119314.4688438883</v>
      </c>
      <c r="K11" s="57">
        <f t="shared" ref="K11:K23" si="2">I11/$I$25</f>
        <v>5.5709606525254231E-2</v>
      </c>
      <c r="L11" s="41">
        <f t="shared" ref="L11:L23" si="3">J11/$J$25</f>
        <v>5.6110822014698893E-2</v>
      </c>
      <c r="M11" s="36"/>
      <c r="N11" s="38" t="s">
        <v>50</v>
      </c>
      <c r="O11" s="58" t="s">
        <v>48</v>
      </c>
      <c r="P11" s="41">
        <f t="shared" ref="P11:P23" si="4">K11</f>
        <v>5.5709606525254231E-2</v>
      </c>
      <c r="Q11" s="41">
        <f t="shared" ref="Q11:Q23" si="5">L11</f>
        <v>5.6110822014698893E-2</v>
      </c>
      <c r="R11" s="59">
        <f t="shared" ref="R11:R23" si="6">ROUND(+P11*($T$25*0.25),0)</f>
        <v>4639574</v>
      </c>
      <c r="S11" s="59">
        <f t="shared" ref="S11:S23" si="7">ROUND(+Q11*($T$25*0.75),0)</f>
        <v>14018964</v>
      </c>
      <c r="T11" s="59">
        <f t="shared" ref="T11:T23" si="8">R11+S11</f>
        <v>18658538</v>
      </c>
      <c r="U11" s="56">
        <f t="shared" ref="U11:U23" si="9">E11</f>
        <v>5968792122</v>
      </c>
      <c r="V11" s="42"/>
      <c r="W11" s="37" t="s">
        <v>47</v>
      </c>
      <c r="X11" s="44" t="s">
        <v>47</v>
      </c>
      <c r="Y11" s="50">
        <f>ROUND(T11/U11,5)</f>
        <v>3.13E-3</v>
      </c>
      <c r="AC11" s="44"/>
      <c r="AD11" s="43"/>
    </row>
    <row r="12" spans="1:30" x14ac:dyDescent="0.3">
      <c r="A12" s="51" t="s">
        <v>51</v>
      </c>
      <c r="B12" s="36" t="s">
        <v>51</v>
      </c>
      <c r="C12" s="38" t="s">
        <v>52</v>
      </c>
      <c r="D12" s="52">
        <f>'[1]GSD(T)-1'!$Q$61</f>
        <v>0.7250743148126767</v>
      </c>
      <c r="E12" s="53">
        <f>SUM('[1]Sales Forecast'!$O$9:$Z$9)</f>
        <v>25825428784</v>
      </c>
      <c r="F12" s="54">
        <f t="shared" ref="F12:F23" si="10">ROUND(E12/(8760*D12),0)</f>
        <v>4065940</v>
      </c>
      <c r="G12" s="55">
        <f>[2]LLS_12CP_Demand_Losses_by_Rate!$C$27</f>
        <v>1.0643248219511645</v>
      </c>
      <c r="H12" s="55">
        <f>[2]LLS_Energy_Losses_by_Rate_Clas!$C$27</f>
        <v>1.0485653999282598</v>
      </c>
      <c r="I12" s="56">
        <f t="shared" si="0"/>
        <v>27079651061.213753</v>
      </c>
      <c r="J12" s="56">
        <f t="shared" si="1"/>
        <v>4327480.8665641183</v>
      </c>
      <c r="K12" s="57">
        <f t="shared" si="2"/>
        <v>0.24102652760986398</v>
      </c>
      <c r="L12" s="41">
        <f t="shared" si="3"/>
        <v>0.21693502177863858</v>
      </c>
      <c r="M12" s="36"/>
      <c r="N12" s="38" t="s">
        <v>52</v>
      </c>
      <c r="O12" s="60" t="s">
        <v>78</v>
      </c>
      <c r="P12" s="41">
        <f t="shared" si="4"/>
        <v>0.24102652760986398</v>
      </c>
      <c r="Q12" s="41">
        <f t="shared" si="5"/>
        <v>0.21693502177863858</v>
      </c>
      <c r="R12" s="59">
        <f t="shared" si="6"/>
        <v>20073028</v>
      </c>
      <c r="S12" s="59">
        <f t="shared" si="7"/>
        <v>54199960</v>
      </c>
      <c r="T12" s="59">
        <f t="shared" si="8"/>
        <v>74272988</v>
      </c>
      <c r="U12" s="56">
        <f t="shared" si="9"/>
        <v>25825428784</v>
      </c>
      <c r="V12" s="41">
        <f>+VLOOKUP($O12,'2017 Clause Allocations'!A14:H27,8,FALSE)</f>
        <v>0.50153536735274484</v>
      </c>
      <c r="W12" s="61">
        <f>ROUND(U12/(V12*730),0)</f>
        <v>70537996</v>
      </c>
      <c r="X12" s="48">
        <f>ROUND(T12/W12,2)</f>
        <v>1.05</v>
      </c>
      <c r="Y12" s="37" t="s">
        <v>47</v>
      </c>
      <c r="Z12" s="62"/>
      <c r="AA12" s="63"/>
      <c r="AC12" s="44"/>
      <c r="AD12" s="37"/>
    </row>
    <row r="13" spans="1:30" x14ac:dyDescent="0.3">
      <c r="A13" s="51" t="s">
        <v>53</v>
      </c>
      <c r="B13" s="36" t="s">
        <v>53</v>
      </c>
      <c r="C13" s="38" t="s">
        <v>54</v>
      </c>
      <c r="D13" s="52">
        <f>'[1]OS-2'!$Q$60</f>
        <v>0.919103434392193</v>
      </c>
      <c r="E13" s="53">
        <f>SUM('[1]Sales Forecast'!$O$15:$Z$15)</f>
        <v>10793313</v>
      </c>
      <c r="F13" s="54">
        <f t="shared" si="10"/>
        <v>1341</v>
      </c>
      <c r="G13" s="55">
        <f>[2]LLS_12CP_Demand_Losses_by_Rate!$C$54</f>
        <v>1.0569735544590297</v>
      </c>
      <c r="H13" s="55">
        <f>[2]LLS_Energy_Losses_by_Rate_Clas!$C$53</f>
        <v>1.0266921244920639</v>
      </c>
      <c r="I13" s="56">
        <f t="shared" si="0"/>
        <v>11081409.454277812</v>
      </c>
      <c r="J13" s="56">
        <f t="shared" si="1"/>
        <v>1417.4015365295588</v>
      </c>
      <c r="K13" s="57">
        <f t="shared" si="2"/>
        <v>9.8631759905254266E-5</v>
      </c>
      <c r="L13" s="41">
        <f t="shared" si="3"/>
        <v>7.1053816915023853E-5</v>
      </c>
      <c r="M13" s="36"/>
      <c r="N13" s="38" t="s">
        <v>54</v>
      </c>
      <c r="O13" s="58" t="s">
        <v>53</v>
      </c>
      <c r="P13" s="41">
        <f t="shared" si="4"/>
        <v>9.8631759905254266E-5</v>
      </c>
      <c r="Q13" s="41">
        <f t="shared" si="5"/>
        <v>7.1053816915023853E-5</v>
      </c>
      <c r="R13" s="59">
        <f t="shared" si="6"/>
        <v>8214</v>
      </c>
      <c r="S13" s="59">
        <f t="shared" si="7"/>
        <v>17752</v>
      </c>
      <c r="T13" s="59">
        <f t="shared" si="8"/>
        <v>25966</v>
      </c>
      <c r="U13" s="56">
        <f t="shared" si="9"/>
        <v>10793313</v>
      </c>
      <c r="V13" s="41"/>
      <c r="W13" s="61"/>
      <c r="X13" s="44" t="s">
        <v>47</v>
      </c>
      <c r="Y13" s="50">
        <f>ROUND(T13/U13,5)</f>
        <v>2.4099999999999998E-3</v>
      </c>
      <c r="Z13" s="62"/>
      <c r="AA13" s="68"/>
      <c r="AC13" s="44"/>
      <c r="AD13" s="43"/>
    </row>
    <row r="14" spans="1:30" x14ac:dyDescent="0.3">
      <c r="A14" s="51" t="s">
        <v>55</v>
      </c>
      <c r="B14" s="36" t="s">
        <v>55</v>
      </c>
      <c r="C14" s="38" t="s">
        <v>56</v>
      </c>
      <c r="D14" s="52">
        <f>'[1]GSLD(T)-1'!$Q$60</f>
        <v>0.72999461177638714</v>
      </c>
      <c r="E14" s="53">
        <f>SUM('[1]Sales Forecast'!$O$10:$Z$10)</f>
        <v>10507497706</v>
      </c>
      <c r="F14" s="54">
        <f t="shared" si="10"/>
        <v>1643144</v>
      </c>
      <c r="G14" s="55">
        <f>[2]LLS_12CP_Demand_Losses_by_Rate!$C$32</f>
        <v>1.0632456834852095</v>
      </c>
      <c r="H14" s="55">
        <f>[2]LLS_Energy_Losses_by_Rate_Clas!$C$32</f>
        <v>1.0477861840453897</v>
      </c>
      <c r="I14" s="56">
        <f t="shared" si="0"/>
        <v>11009610925.235426</v>
      </c>
      <c r="J14" s="56">
        <f t="shared" si="1"/>
        <v>1747065.7653446211</v>
      </c>
      <c r="K14" s="57">
        <f t="shared" si="2"/>
        <v>9.7992706244501279E-2</v>
      </c>
      <c r="L14" s="41">
        <f t="shared" si="3"/>
        <v>8.757976327106512E-2</v>
      </c>
      <c r="M14" s="36"/>
      <c r="N14" s="38" t="s">
        <v>56</v>
      </c>
      <c r="O14" s="60" t="s">
        <v>79</v>
      </c>
      <c r="P14" s="41">
        <f t="shared" si="4"/>
        <v>9.7992706244501279E-2</v>
      </c>
      <c r="Q14" s="41">
        <f t="shared" si="5"/>
        <v>8.757976327106512E-2</v>
      </c>
      <c r="R14" s="59">
        <f t="shared" si="6"/>
        <v>8160970</v>
      </c>
      <c r="S14" s="59">
        <f t="shared" si="7"/>
        <v>21881297</v>
      </c>
      <c r="T14" s="59">
        <f t="shared" si="8"/>
        <v>30042267</v>
      </c>
      <c r="U14" s="56">
        <f t="shared" si="9"/>
        <v>10507497706</v>
      </c>
      <c r="V14" s="41">
        <f>+VLOOKUP($O14,'2017 Clause Allocations'!A16:H29,8,FALSE)</f>
        <v>0.5671159554740004</v>
      </c>
      <c r="W14" s="61">
        <f t="shared" ref="W14:W21" si="11">ROUND(U14/(V14*730),0)</f>
        <v>25380757</v>
      </c>
      <c r="X14" s="48">
        <f t="shared" ref="X14:X16" si="12">ROUND(T14/W14,2)</f>
        <v>1.18</v>
      </c>
      <c r="Y14" s="37" t="s">
        <v>47</v>
      </c>
      <c r="Z14" s="62"/>
      <c r="AA14" s="63"/>
      <c r="AC14" s="44"/>
      <c r="AD14" s="37"/>
    </row>
    <row r="15" spans="1:30" x14ac:dyDescent="0.3">
      <c r="A15" s="51" t="s">
        <v>57</v>
      </c>
      <c r="B15" s="36" t="s">
        <v>57</v>
      </c>
      <c r="C15" s="38" t="s">
        <v>58</v>
      </c>
      <c r="D15" s="52">
        <f>'[1]GSLD(T)-2'!$Q$60</f>
        <v>0.87345926572709476</v>
      </c>
      <c r="E15" s="53">
        <f>SUM('[1]Sales Forecast'!$O$11:$Z$11)</f>
        <v>2515470925</v>
      </c>
      <c r="F15" s="54">
        <f t="shared" si="10"/>
        <v>328755</v>
      </c>
      <c r="G15" s="55">
        <f>[2]LLS_12CP_Demand_Losses_by_Rate!$C$37</f>
        <v>1.054788034506472</v>
      </c>
      <c r="H15" s="55">
        <f>[2]LLS_Energy_Losses_by_Rate_Clas!$C$37</f>
        <v>1.0411321362257282</v>
      </c>
      <c r="I15" s="56">
        <f t="shared" si="0"/>
        <v>2618937617.7589583</v>
      </c>
      <c r="J15" s="56">
        <f t="shared" si="1"/>
        <v>346766.84028417518</v>
      </c>
      <c r="K15" s="57">
        <f t="shared" si="2"/>
        <v>2.3310250143489038E-2</v>
      </c>
      <c r="L15" s="41">
        <f t="shared" si="3"/>
        <v>1.7383293969104055E-2</v>
      </c>
      <c r="M15" s="36"/>
      <c r="N15" s="38" t="s">
        <v>59</v>
      </c>
      <c r="O15" s="60" t="s">
        <v>80</v>
      </c>
      <c r="P15" s="41">
        <f t="shared" si="4"/>
        <v>2.3310250143489038E-2</v>
      </c>
      <c r="Q15" s="41">
        <f t="shared" si="5"/>
        <v>1.7383293969104055E-2</v>
      </c>
      <c r="R15" s="59">
        <f t="shared" si="6"/>
        <v>1941310</v>
      </c>
      <c r="S15" s="59">
        <f t="shared" si="7"/>
        <v>4343115</v>
      </c>
      <c r="T15" s="59">
        <f t="shared" si="8"/>
        <v>6284425</v>
      </c>
      <c r="U15" s="56">
        <f t="shared" si="9"/>
        <v>2515470925</v>
      </c>
      <c r="V15" s="41">
        <f>+VLOOKUP($O15,'2017 Clause Allocations'!A17:H30,8,FALSE)</f>
        <v>0.65791900765279343</v>
      </c>
      <c r="W15" s="61">
        <f t="shared" si="11"/>
        <v>5237500</v>
      </c>
      <c r="X15" s="48">
        <f t="shared" si="12"/>
        <v>1.2</v>
      </c>
      <c r="Y15" s="37" t="s">
        <v>47</v>
      </c>
      <c r="Z15" s="62"/>
      <c r="AA15" s="63"/>
      <c r="AC15" s="44"/>
      <c r="AD15" s="37"/>
    </row>
    <row r="16" spans="1:30" x14ac:dyDescent="0.3">
      <c r="A16" s="51" t="s">
        <v>60</v>
      </c>
      <c r="B16" s="36" t="s">
        <v>60</v>
      </c>
      <c r="C16" s="38" t="s">
        <v>61</v>
      </c>
      <c r="D16" s="52">
        <f>'[1]GSLD(T)-3'!$Q$60</f>
        <v>0.85788668835439907</v>
      </c>
      <c r="E16" s="53">
        <f>SUM('[1]Sales Forecast'!$O$12:$Z$12)</f>
        <v>172992260</v>
      </c>
      <c r="F16" s="54">
        <f t="shared" si="10"/>
        <v>23019</v>
      </c>
      <c r="G16" s="55">
        <f>[2]LLS_12CP_Demand_Losses_by_Rate!$C$41</f>
        <v>1.0218365873198931</v>
      </c>
      <c r="H16" s="55">
        <f>[2]LLS_Energy_Losses_by_Rate_Clas!$C$41</f>
        <v>1.0170051802969728</v>
      </c>
      <c r="I16" s="56">
        <f t="shared" si="0"/>
        <v>175934024.57128081</v>
      </c>
      <c r="J16" s="56">
        <f t="shared" si="1"/>
        <v>23521.656403516619</v>
      </c>
      <c r="K16" s="57">
        <f t="shared" si="2"/>
        <v>1.5659273797505001E-3</v>
      </c>
      <c r="L16" s="41">
        <f t="shared" si="3"/>
        <v>1.1791319711178501E-3</v>
      </c>
      <c r="M16" s="36"/>
      <c r="N16" s="38" t="s">
        <v>61</v>
      </c>
      <c r="O16" s="58" t="s">
        <v>81</v>
      </c>
      <c r="P16" s="41">
        <f t="shared" si="4"/>
        <v>1.5659273797505001E-3</v>
      </c>
      <c r="Q16" s="41">
        <f t="shared" si="5"/>
        <v>1.1791319711178501E-3</v>
      </c>
      <c r="R16" s="59">
        <f t="shared" si="6"/>
        <v>130413</v>
      </c>
      <c r="S16" s="59">
        <f t="shared" si="7"/>
        <v>294599</v>
      </c>
      <c r="T16" s="59">
        <f t="shared" si="8"/>
        <v>425012</v>
      </c>
      <c r="U16" s="56">
        <f t="shared" si="9"/>
        <v>172992260</v>
      </c>
      <c r="V16" s="41">
        <f>+VLOOKUP($O16,'2017 Clause Allocations'!A18:H31,8,FALSE)</f>
        <v>0.55990971074559603</v>
      </c>
      <c r="W16" s="61">
        <f t="shared" si="11"/>
        <v>423239</v>
      </c>
      <c r="X16" s="48">
        <f t="shared" si="12"/>
        <v>1</v>
      </c>
      <c r="Y16" s="37" t="s">
        <v>47</v>
      </c>
      <c r="Z16" s="62"/>
      <c r="AA16" s="63"/>
      <c r="AC16" s="44"/>
      <c r="AD16" s="37"/>
    </row>
    <row r="17" spans="1:30" x14ac:dyDescent="0.3">
      <c r="A17" s="51" t="s">
        <v>63</v>
      </c>
      <c r="B17" s="36" t="s">
        <v>83</v>
      </c>
      <c r="C17" s="38" t="s">
        <v>77</v>
      </c>
      <c r="D17" s="52">
        <f>'[1]SST-1D'!$Q$60</f>
        <v>0.77997950485562773</v>
      </c>
      <c r="E17" s="53">
        <f>SUM('[1]Sales Forecast'!$O$19:$Z$19)</f>
        <v>11856926</v>
      </c>
      <c r="F17" s="54">
        <f t="shared" si="10"/>
        <v>1735</v>
      </c>
      <c r="G17" s="55">
        <f>[2]LLS_12CP_Demand_Losses_by_Rate!$C$72</f>
        <v>1.0348230296067638</v>
      </c>
      <c r="H17" s="55">
        <f>[2]LLS_Energy_Losses_by_Rate_Clas!$C$71</f>
        <v>1.0266921244920639</v>
      </c>
      <c r="I17" s="56">
        <f t="shared" si="0"/>
        <v>12173412.54488519</v>
      </c>
      <c r="J17" s="56">
        <f t="shared" si="1"/>
        <v>1795.4179563677351</v>
      </c>
      <c r="K17" s="57">
        <f t="shared" si="2"/>
        <v>1.0835129847956479E-4</v>
      </c>
      <c r="L17" s="41">
        <f t="shared" si="3"/>
        <v>9.000364079613718E-5</v>
      </c>
      <c r="M17" s="36"/>
      <c r="N17" s="38" t="s">
        <v>77</v>
      </c>
      <c r="O17" s="58" t="s">
        <v>83</v>
      </c>
      <c r="P17" s="41">
        <f t="shared" si="4"/>
        <v>1.0835129847956479E-4</v>
      </c>
      <c r="Q17" s="41">
        <f t="shared" si="5"/>
        <v>9.000364079613718E-5</v>
      </c>
      <c r="R17" s="59">
        <f t="shared" si="6"/>
        <v>9024</v>
      </c>
      <c r="S17" s="59">
        <f t="shared" si="7"/>
        <v>22487</v>
      </c>
      <c r="T17" s="59">
        <f t="shared" si="8"/>
        <v>31511</v>
      </c>
      <c r="U17" s="56">
        <f t="shared" si="9"/>
        <v>11856926</v>
      </c>
      <c r="V17" s="41">
        <f>+VLOOKUP($O17,'2017 Clause Allocations'!A19:H32,8,FALSE)</f>
        <v>0.29683762187751556</v>
      </c>
      <c r="W17" s="61">
        <f t="shared" si="11"/>
        <v>54718</v>
      </c>
      <c r="X17" s="37" t="s">
        <v>47</v>
      </c>
      <c r="Y17" s="37" t="s">
        <v>47</v>
      </c>
      <c r="Z17" s="48">
        <f>ROUND(($T$25/$J$25*0.1*$G17)/12,2)</f>
        <v>0.14000000000000001</v>
      </c>
      <c r="AA17" s="48">
        <f>ROUND(($T$25/$J$25/21*$G17)/12,2)</f>
        <v>7.0000000000000007E-2</v>
      </c>
      <c r="AC17" s="44"/>
      <c r="AD17" s="37"/>
    </row>
    <row r="18" spans="1:30" x14ac:dyDescent="0.3">
      <c r="A18" s="51" t="s">
        <v>62</v>
      </c>
      <c r="B18" s="36" t="s">
        <v>82</v>
      </c>
      <c r="C18" s="38" t="s">
        <v>76</v>
      </c>
      <c r="D18" s="52">
        <f>'[1]SST-1T'!$Q$60</f>
        <v>1.0702963338905989</v>
      </c>
      <c r="E18" s="53">
        <f>SUM('[1]Sales Forecast'!$O$20:$Z$20)</f>
        <v>89667754</v>
      </c>
      <c r="F18" s="54">
        <f t="shared" si="10"/>
        <v>9564</v>
      </c>
      <c r="G18" s="55">
        <f>[2]LLS_12CP_Demand_Losses_by_Rate!$C$76</f>
        <v>1.0218365882532447</v>
      </c>
      <c r="H18" s="55">
        <f>[2]LLS_Energy_Losses_by_Rate_Clas!$C$75</f>
        <v>1.0170051802969728</v>
      </c>
      <c r="I18" s="56">
        <f t="shared" si="0"/>
        <v>91192570.323594615</v>
      </c>
      <c r="J18" s="56">
        <f t="shared" si="1"/>
        <v>9772.8451300540328</v>
      </c>
      <c r="K18" s="57">
        <f t="shared" si="2"/>
        <v>8.1167325676496991E-4</v>
      </c>
      <c r="L18" s="41">
        <f t="shared" si="3"/>
        <v>4.8990912646386885E-4</v>
      </c>
      <c r="M18" s="36"/>
      <c r="N18" s="38" t="s">
        <v>76</v>
      </c>
      <c r="O18" s="58" t="s">
        <v>82</v>
      </c>
      <c r="P18" s="41">
        <f t="shared" si="4"/>
        <v>8.1167325676496991E-4</v>
      </c>
      <c r="Q18" s="41">
        <f t="shared" si="5"/>
        <v>4.8990912646386885E-4</v>
      </c>
      <c r="R18" s="59">
        <f t="shared" si="6"/>
        <v>67597</v>
      </c>
      <c r="S18" s="59">
        <f t="shared" si="7"/>
        <v>122401</v>
      </c>
      <c r="T18" s="59">
        <f t="shared" si="8"/>
        <v>189998</v>
      </c>
      <c r="U18" s="56">
        <f t="shared" si="9"/>
        <v>89667754</v>
      </c>
      <c r="V18" s="41">
        <f>+VLOOKUP($O18,'2017 Clause Allocations'!A20:H33,8,FALSE)</f>
        <v>0.11319690656706886</v>
      </c>
      <c r="W18" s="61">
        <f t="shared" si="11"/>
        <v>1085123</v>
      </c>
      <c r="X18" s="37" t="s">
        <v>47</v>
      </c>
      <c r="Y18" s="37" t="s">
        <v>47</v>
      </c>
      <c r="Z18" s="48">
        <f>ROUND(($T$25/$J$25*0.1*$G18)/12,2)</f>
        <v>0.14000000000000001</v>
      </c>
      <c r="AA18" s="48">
        <f>ROUND(($T$25/$J$25/21*$G18)/12,2)</f>
        <v>7.0000000000000007E-2</v>
      </c>
      <c r="AC18" s="44"/>
      <c r="AD18" s="37"/>
    </row>
    <row r="19" spans="1:30" x14ac:dyDescent="0.3">
      <c r="A19" s="51" t="s">
        <v>64</v>
      </c>
      <c r="B19" s="36" t="s">
        <v>116</v>
      </c>
      <c r="C19" s="38" t="s">
        <v>65</v>
      </c>
      <c r="D19" s="52">
        <f>'[1]CILC-1D &amp; CILC-1G'!$Q$60</f>
        <v>0.86999666550226762</v>
      </c>
      <c r="E19" s="53">
        <f>SUM('[1]Sales Forecast'!$O$4:$Z$5)</f>
        <v>2789043893</v>
      </c>
      <c r="F19" s="54">
        <f t="shared" si="10"/>
        <v>365960</v>
      </c>
      <c r="G19" s="55">
        <f>[2]LLS_Demand_Losses_by_Rate_Grou!$E$5</f>
        <v>1.0532248551572985</v>
      </c>
      <c r="H19" s="55">
        <f>[2]LLS_Energy_Losses_by_Rate_Grou!$E$5</f>
        <v>1.0405349356358289</v>
      </c>
      <c r="I19" s="56">
        <f t="shared" si="0"/>
        <v>2902097607.6882567</v>
      </c>
      <c r="J19" s="56">
        <f t="shared" si="1"/>
        <v>385438.16799336497</v>
      </c>
      <c r="K19" s="57">
        <f t="shared" si="2"/>
        <v>2.5830558436104233E-2</v>
      </c>
      <c r="L19" s="41">
        <f t="shared" si="3"/>
        <v>1.9321873382272595E-2</v>
      </c>
      <c r="M19" s="36"/>
      <c r="N19" s="38" t="s">
        <v>65</v>
      </c>
      <c r="O19" s="58" t="s">
        <v>84</v>
      </c>
      <c r="P19" s="41">
        <f t="shared" si="4"/>
        <v>2.5830558436104233E-2</v>
      </c>
      <c r="Q19" s="41">
        <f t="shared" si="5"/>
        <v>1.9321873382272595E-2</v>
      </c>
      <c r="R19" s="59">
        <f t="shared" si="6"/>
        <v>2151205</v>
      </c>
      <c r="S19" s="59">
        <f t="shared" si="7"/>
        <v>4827458</v>
      </c>
      <c r="T19" s="59">
        <f t="shared" si="8"/>
        <v>6978663</v>
      </c>
      <c r="U19" s="56">
        <f t="shared" si="9"/>
        <v>2789043893</v>
      </c>
      <c r="V19" s="41">
        <f>+VLOOKUP($O19,'2017 Clause Allocations'!A21:H34,8,FALSE)</f>
        <v>0.74143072083162143</v>
      </c>
      <c r="W19" s="61">
        <f t="shared" si="11"/>
        <v>5153021</v>
      </c>
      <c r="X19" s="48">
        <f t="shared" ref="X19:X21" si="13">ROUND(T19/W19,2)</f>
        <v>1.35</v>
      </c>
      <c r="Y19" s="37" t="s">
        <v>47</v>
      </c>
      <c r="Z19" s="62"/>
      <c r="AA19" s="63"/>
      <c r="AC19" s="44"/>
      <c r="AD19" s="37"/>
    </row>
    <row r="20" spans="1:30" x14ac:dyDescent="0.3">
      <c r="A20" s="51" t="s">
        <v>66</v>
      </c>
      <c r="B20" s="36" t="s">
        <v>66</v>
      </c>
      <c r="C20" s="38" t="s">
        <v>67</v>
      </c>
      <c r="D20" s="52">
        <f>'[1]CILC-1T'!$Q$60</f>
        <v>0.90923357476441657</v>
      </c>
      <c r="E20" s="53">
        <f>SUM('[1]Sales Forecast'!$O$6:$Z$6)</f>
        <v>1508335314</v>
      </c>
      <c r="F20" s="54">
        <f t="shared" si="10"/>
        <v>189373</v>
      </c>
      <c r="G20" s="55">
        <f>[2]LLS_12CP_Demand_Losses_by_Rate!$C$14</f>
        <v>1.021836586761282</v>
      </c>
      <c r="H20" s="55">
        <f>[2]LLS_Energy_Losses_by_Rate_Clas!$C$14</f>
        <v>1.0170051802969728</v>
      </c>
      <c r="I20" s="56">
        <f t="shared" si="0"/>
        <v>1533984827.9628611</v>
      </c>
      <c r="J20" s="56">
        <f t="shared" si="1"/>
        <v>193508.25994474426</v>
      </c>
      <c r="K20" s="57">
        <f t="shared" si="2"/>
        <v>1.3653463837267446E-2</v>
      </c>
      <c r="L20" s="41">
        <f t="shared" si="3"/>
        <v>9.7004977907133565E-3</v>
      </c>
      <c r="M20" s="36"/>
      <c r="N20" s="38" t="s">
        <v>67</v>
      </c>
      <c r="O20" s="58" t="s">
        <v>66</v>
      </c>
      <c r="P20" s="41">
        <f t="shared" si="4"/>
        <v>1.3653463837267446E-2</v>
      </c>
      <c r="Q20" s="41">
        <f t="shared" si="5"/>
        <v>9.7004977907133565E-3</v>
      </c>
      <c r="R20" s="59">
        <f t="shared" si="6"/>
        <v>1137080</v>
      </c>
      <c r="S20" s="59">
        <f t="shared" si="7"/>
        <v>2423613</v>
      </c>
      <c r="T20" s="59">
        <f t="shared" si="8"/>
        <v>3560693</v>
      </c>
      <c r="U20" s="56">
        <f t="shared" si="9"/>
        <v>1508335314</v>
      </c>
      <c r="V20" s="41">
        <f>+VLOOKUP($O20,'2017 Clause Allocations'!A21:H35,8,FALSE)</f>
        <v>0.7633683121714222</v>
      </c>
      <c r="W20" s="61">
        <f t="shared" si="11"/>
        <v>2706705</v>
      </c>
      <c r="X20" s="48">
        <f t="shared" si="13"/>
        <v>1.32</v>
      </c>
      <c r="Y20" s="37" t="s">
        <v>47</v>
      </c>
      <c r="Z20" s="62"/>
      <c r="AA20" s="63"/>
      <c r="AC20" s="44"/>
      <c r="AD20" s="37"/>
    </row>
    <row r="21" spans="1:30" x14ac:dyDescent="0.3">
      <c r="A21" s="51" t="s">
        <v>68</v>
      </c>
      <c r="B21" s="36" t="s">
        <v>68</v>
      </c>
      <c r="C21" s="38" t="s">
        <v>68</v>
      </c>
      <c r="D21" s="52">
        <f>[1]MET!$Q$60</f>
        <v>0.71417516516020862</v>
      </c>
      <c r="E21" s="53">
        <f>SUM('[1]Sales Forecast'!$O$13:$Z$13)</f>
        <v>91208296</v>
      </c>
      <c r="F21" s="54">
        <f t="shared" si="10"/>
        <v>14579</v>
      </c>
      <c r="G21" s="55">
        <f>[2]LLS_12CP_Demand_Losses_by_Rate!$C$45</f>
        <v>1.0348230286686431</v>
      </c>
      <c r="H21" s="55">
        <f>[2]LLS_Energy_Losses_by_Rate_Clas!$C$45</f>
        <v>1.0266921244920639</v>
      </c>
      <c r="I21" s="56">
        <f t="shared" si="0"/>
        <v>93642839.191541016</v>
      </c>
      <c r="J21" s="56">
        <f t="shared" si="1"/>
        <v>15086.684934960147</v>
      </c>
      <c r="K21" s="57">
        <f t="shared" si="2"/>
        <v>8.334822452049119E-4</v>
      </c>
      <c r="L21" s="41">
        <f t="shared" si="3"/>
        <v>7.5628995848838051E-4</v>
      </c>
      <c r="M21" s="36"/>
      <c r="N21" s="38" t="s">
        <v>68</v>
      </c>
      <c r="O21" s="58" t="s">
        <v>68</v>
      </c>
      <c r="P21" s="41">
        <f t="shared" si="4"/>
        <v>8.334822452049119E-4</v>
      </c>
      <c r="Q21" s="41">
        <f t="shared" si="5"/>
        <v>7.5628995848838051E-4</v>
      </c>
      <c r="R21" s="59">
        <f t="shared" si="6"/>
        <v>69414</v>
      </c>
      <c r="S21" s="59">
        <f t="shared" si="7"/>
        <v>188955</v>
      </c>
      <c r="T21" s="59">
        <f t="shared" si="8"/>
        <v>258369</v>
      </c>
      <c r="U21" s="56">
        <f t="shared" si="9"/>
        <v>91208296</v>
      </c>
      <c r="V21" s="41">
        <f>+VLOOKUP($O21,'2017 Clause Allocations'!A23:H36,8,FALSE)</f>
        <v>0.64617748054861501</v>
      </c>
      <c r="W21" s="61">
        <f t="shared" si="11"/>
        <v>193357</v>
      </c>
      <c r="X21" s="48">
        <f t="shared" si="13"/>
        <v>1.34</v>
      </c>
      <c r="Y21" s="37" t="s">
        <v>47</v>
      </c>
      <c r="Z21" s="62"/>
      <c r="AA21" s="63"/>
      <c r="AC21" s="44"/>
      <c r="AD21" s="37"/>
    </row>
    <row r="22" spans="1:30" x14ac:dyDescent="0.3">
      <c r="A22" s="51" t="s">
        <v>0</v>
      </c>
      <c r="B22" s="36" t="s">
        <v>117</v>
      </c>
      <c r="C22" s="38" t="s">
        <v>69</v>
      </c>
      <c r="D22" s="52">
        <f>'[1]OL-1 &amp; SL-1'!$Q$60</f>
        <v>5.8504734154237852</v>
      </c>
      <c r="E22" s="53">
        <f>SUM('[1]Sales Forecast'!$O$14:$Z$14)+SUM('[1]Sales Forecast'!$O$17:$Z$17)</f>
        <v>658706942</v>
      </c>
      <c r="F22" s="54">
        <f t="shared" si="10"/>
        <v>12853</v>
      </c>
      <c r="G22" s="55">
        <f>[2]LLS_12CP_Demand_Losses_by_Rate!$C$49</f>
        <v>1.0644100694966601</v>
      </c>
      <c r="H22" s="55">
        <f>[2]LLS_Energy_Losses_by_Rate_Clas!$C$49</f>
        <v>1.0486289832939273</v>
      </c>
      <c r="I22" s="56">
        <f t="shared" si="0"/>
        <v>690739190.87811196</v>
      </c>
      <c r="J22" s="56">
        <f t="shared" si="1"/>
        <v>13680.862623240571</v>
      </c>
      <c r="K22" s="57">
        <f t="shared" si="2"/>
        <v>6.1480285800232229E-3</v>
      </c>
      <c r="L22" s="41">
        <f t="shared" si="3"/>
        <v>6.8581660384778092E-4</v>
      </c>
      <c r="M22" s="36"/>
      <c r="N22" s="38" t="s">
        <v>69</v>
      </c>
      <c r="O22" s="58" t="s">
        <v>85</v>
      </c>
      <c r="P22" s="41">
        <f t="shared" si="4"/>
        <v>6.1480285800232229E-3</v>
      </c>
      <c r="Q22" s="41">
        <f t="shared" si="5"/>
        <v>6.8581660384778092E-4</v>
      </c>
      <c r="R22" s="59">
        <f t="shared" si="6"/>
        <v>512016</v>
      </c>
      <c r="S22" s="59">
        <f t="shared" si="7"/>
        <v>171347</v>
      </c>
      <c r="T22" s="59">
        <f t="shared" si="8"/>
        <v>683363</v>
      </c>
      <c r="U22" s="56">
        <f t="shared" si="9"/>
        <v>658706942</v>
      </c>
      <c r="V22" s="42"/>
      <c r="W22" s="37" t="s">
        <v>47</v>
      </c>
      <c r="X22" s="44" t="s">
        <v>47</v>
      </c>
      <c r="Y22" s="50">
        <f t="shared" ref="Y22:Y23" si="14">ROUND(T22/U22,5)</f>
        <v>1.0399999999999999E-3</v>
      </c>
      <c r="Z22" s="62"/>
      <c r="AC22" s="44"/>
      <c r="AD22" s="43"/>
    </row>
    <row r="23" spans="1:30" x14ac:dyDescent="0.3">
      <c r="A23" s="51" t="s">
        <v>75</v>
      </c>
      <c r="B23" s="36" t="s">
        <v>118</v>
      </c>
      <c r="C23" s="38" t="s">
        <v>70</v>
      </c>
      <c r="D23" s="52">
        <f>'[1]GSCU-1 &amp; SL-2'!$Q$61</f>
        <v>0.94825427867741852</v>
      </c>
      <c r="E23" s="53">
        <f>SUM('[1]Sales Forecast'!$O$18:$Z$18)+SUM('[1]Sales Forecast'!$O$8:$Z$8)</f>
        <v>103004444</v>
      </c>
      <c r="F23" s="54">
        <f t="shared" si="10"/>
        <v>12400</v>
      </c>
      <c r="G23" s="55">
        <f>[2]LLS_12CP_Demand_Losses_by_Rate!$C$68</f>
        <v>1.0644100702535517</v>
      </c>
      <c r="H23" s="55">
        <f>[2]LLS_Energy_Losses_by_Rate_Clas!$C$67</f>
        <v>1.0486289832939273</v>
      </c>
      <c r="I23" s="56">
        <f t="shared" si="0"/>
        <v>108013445.38647626</v>
      </c>
      <c r="J23" s="56">
        <f t="shared" si="1"/>
        <v>13198.684871144042</v>
      </c>
      <c r="K23" s="57">
        <f t="shared" si="2"/>
        <v>9.6138999789287412E-4</v>
      </c>
      <c r="L23" s="41">
        <f t="shared" si="3"/>
        <v>6.61645210749217E-4</v>
      </c>
      <c r="M23" s="36"/>
      <c r="N23" s="38" t="s">
        <v>71</v>
      </c>
      <c r="O23" s="58" t="s">
        <v>86</v>
      </c>
      <c r="P23" s="41">
        <f t="shared" si="4"/>
        <v>9.6138999789287412E-4</v>
      </c>
      <c r="Q23" s="41">
        <f t="shared" si="5"/>
        <v>6.61645210749217E-4</v>
      </c>
      <c r="R23" s="59">
        <f t="shared" si="6"/>
        <v>80066</v>
      </c>
      <c r="S23" s="59">
        <f t="shared" si="7"/>
        <v>165308</v>
      </c>
      <c r="T23" s="59">
        <f t="shared" si="8"/>
        <v>245374</v>
      </c>
      <c r="U23" s="56">
        <f t="shared" si="9"/>
        <v>103004444</v>
      </c>
      <c r="V23" s="42"/>
      <c r="W23" s="37" t="s">
        <v>47</v>
      </c>
      <c r="X23" s="44" t="s">
        <v>47</v>
      </c>
      <c r="Y23" s="50">
        <f t="shared" si="14"/>
        <v>2.3800000000000002E-3</v>
      </c>
      <c r="Z23" s="62"/>
      <c r="AC23" s="44"/>
      <c r="AD23" s="43"/>
    </row>
    <row r="24" spans="1:30" x14ac:dyDescent="0.3">
      <c r="B24" s="36"/>
      <c r="C24" s="36"/>
      <c r="D24" s="45"/>
      <c r="E24" s="4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47"/>
      <c r="T24" s="36"/>
      <c r="U24" s="36"/>
      <c r="V24" s="36"/>
      <c r="W24" s="36"/>
      <c r="X24" s="48"/>
      <c r="Y24" s="40"/>
    </row>
    <row r="25" spans="1:30" x14ac:dyDescent="0.3">
      <c r="B25" s="36"/>
      <c r="C25" s="38" t="s">
        <v>72</v>
      </c>
      <c r="D25" s="36"/>
      <c r="E25" s="56">
        <f>SUM(E10:E23)</f>
        <v>107246477186</v>
      </c>
      <c r="F25" s="56">
        <f>SUM(F10:F23)</f>
        <v>18759443</v>
      </c>
      <c r="G25" s="36"/>
      <c r="H25" s="49"/>
      <c r="I25" s="56">
        <f>SUM(I10:I23)</f>
        <v>112351330493.57146</v>
      </c>
      <c r="J25" s="56">
        <f>SUM(J10:J23)</f>
        <v>19948281.430463996</v>
      </c>
      <c r="K25" s="64">
        <f>SUM(K10:K23)</f>
        <v>0.99999999999999989</v>
      </c>
      <c r="L25" s="64">
        <f>SUM(L10:L23)</f>
        <v>1.0000000000000004</v>
      </c>
      <c r="M25" s="36"/>
      <c r="N25" s="38" t="s">
        <v>72</v>
      </c>
      <c r="O25" s="38"/>
      <c r="P25" s="36"/>
      <c r="Q25" s="36"/>
      <c r="R25" s="59">
        <f>SUM(R10:R23)</f>
        <v>83281405</v>
      </c>
      <c r="S25" s="59">
        <f>SUM(S10:S23)</f>
        <v>249844212</v>
      </c>
      <c r="T25" s="69">
        <f>[3]Summary!$B$3</f>
        <v>333125619.24357873</v>
      </c>
      <c r="U25" s="56">
        <f>SUM(U10:U23)</f>
        <v>107246477186</v>
      </c>
      <c r="V25" s="36"/>
      <c r="W25" s="56">
        <f>SUM(W10:W23)</f>
        <v>110772416</v>
      </c>
      <c r="X25" s="48"/>
      <c r="Y25" s="50"/>
    </row>
    <row r="27" spans="1:30" hidden="1" x14ac:dyDescent="0.3">
      <c r="C27" s="51" t="s">
        <v>64</v>
      </c>
    </row>
    <row r="28" spans="1:30" hidden="1" x14ac:dyDescent="0.3">
      <c r="C28" s="51" t="s">
        <v>73</v>
      </c>
    </row>
    <row r="29" spans="1:30" hidden="1" x14ac:dyDescent="0.3">
      <c r="C29" s="51" t="s">
        <v>66</v>
      </c>
    </row>
    <row r="30" spans="1:30" hidden="1" x14ac:dyDescent="0.3">
      <c r="C30" s="51" t="s">
        <v>74</v>
      </c>
    </row>
    <row r="31" spans="1:30" hidden="1" x14ac:dyDescent="0.3">
      <c r="C31" s="51" t="s">
        <v>51</v>
      </c>
    </row>
    <row r="32" spans="1:30" hidden="1" x14ac:dyDescent="0.3">
      <c r="C32" s="51" t="s">
        <v>55</v>
      </c>
    </row>
    <row r="33" spans="3:20" hidden="1" x14ac:dyDescent="0.3">
      <c r="C33" s="51" t="s">
        <v>57</v>
      </c>
    </row>
    <row r="34" spans="3:20" hidden="1" x14ac:dyDescent="0.3">
      <c r="C34" s="51" t="s">
        <v>60</v>
      </c>
    </row>
    <row r="35" spans="3:20" hidden="1" x14ac:dyDescent="0.3">
      <c r="C35" s="51" t="s">
        <v>48</v>
      </c>
    </row>
    <row r="36" spans="3:20" hidden="1" x14ac:dyDescent="0.3">
      <c r="C36" s="51" t="s">
        <v>68</v>
      </c>
    </row>
    <row r="37" spans="3:20" hidden="1" x14ac:dyDescent="0.3">
      <c r="C37" s="51" t="s">
        <v>1</v>
      </c>
    </row>
    <row r="38" spans="3:20" hidden="1" x14ac:dyDescent="0.3">
      <c r="C38" s="51" t="s">
        <v>53</v>
      </c>
    </row>
    <row r="39" spans="3:20" hidden="1" x14ac:dyDescent="0.3">
      <c r="C39" s="51" t="s">
        <v>45</v>
      </c>
    </row>
    <row r="40" spans="3:20" hidden="1" x14ac:dyDescent="0.3">
      <c r="C40" s="51" t="s">
        <v>0</v>
      </c>
    </row>
    <row r="41" spans="3:20" hidden="1" x14ac:dyDescent="0.3">
      <c r="C41" s="51" t="s">
        <v>75</v>
      </c>
    </row>
    <row r="42" spans="3:20" x14ac:dyDescent="0.3">
      <c r="T42" s="59"/>
    </row>
    <row r="43" spans="3:20" x14ac:dyDescent="0.3">
      <c r="F43" s="65"/>
    </row>
    <row r="44" spans="3:20" x14ac:dyDescent="0.3">
      <c r="C44" s="51" t="s">
        <v>114</v>
      </c>
      <c r="F44" s="66"/>
      <c r="T44" s="67"/>
    </row>
    <row r="45" spans="3:20" x14ac:dyDescent="0.3">
      <c r="C45" s="51" t="s">
        <v>115</v>
      </c>
    </row>
  </sheetData>
  <pageMargins left="0.7" right="0.7" top="0.75" bottom="0.75" header="0.3" footer="0.3"/>
  <pageSetup scale="87" orientation="landscape" r:id="rId1"/>
  <colBreaks count="2" manualBreakCount="2">
    <brk id="12" max="1048575" man="1"/>
    <brk id="2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showGridLines="0" zoomScale="90" zoomScaleNormal="90" workbookViewId="0">
      <selection activeCell="A2" sqref="A1:A2"/>
    </sheetView>
  </sheetViews>
  <sheetFormatPr defaultColWidth="9.109375" defaultRowHeight="13.2" x14ac:dyDescent="0.25"/>
  <cols>
    <col min="1" max="1" width="40.6640625" style="3" customWidth="1"/>
    <col min="2" max="2" width="16.6640625" style="5" bestFit="1" customWidth="1"/>
    <col min="3" max="3" width="17.33203125" style="6" bestFit="1" customWidth="1"/>
    <col min="4" max="4" width="14.109375" style="6" customWidth="1"/>
    <col min="5" max="5" width="23.44140625" style="6" customWidth="1"/>
    <col min="6" max="6" width="19.33203125" style="7" customWidth="1"/>
    <col min="7" max="7" width="20.88671875" style="7" customWidth="1"/>
    <col min="8" max="8" width="14" style="5" customWidth="1"/>
    <col min="9" max="9" width="13.33203125" style="3" bestFit="1" customWidth="1"/>
    <col min="10" max="16384" width="9.109375" style="3"/>
  </cols>
  <sheetData>
    <row r="1" spans="1:8" ht="13.8" x14ac:dyDescent="0.3">
      <c r="A1" s="73" t="s">
        <v>121</v>
      </c>
    </row>
    <row r="2" spans="1:8" ht="13.8" x14ac:dyDescent="0.3">
      <c r="A2" s="73" t="s">
        <v>120</v>
      </c>
    </row>
    <row r="4" spans="1:8" ht="21" x14ac:dyDescent="0.4">
      <c r="A4" s="70" t="s">
        <v>87</v>
      </c>
      <c r="B4" s="70"/>
      <c r="C4" s="70"/>
      <c r="D4" s="70"/>
      <c r="E4" s="70"/>
      <c r="F4" s="70"/>
      <c r="G4" s="70"/>
      <c r="H4" s="70"/>
    </row>
    <row r="5" spans="1:8" ht="21" x14ac:dyDescent="0.4">
      <c r="A5" s="70" t="str">
        <f>'[4]LF Analysis'!A2</f>
        <v>January 2017 through December 2017</v>
      </c>
      <c r="B5" s="70"/>
      <c r="C5" s="70"/>
      <c r="D5" s="70"/>
      <c r="E5" s="70"/>
      <c r="F5" s="70"/>
      <c r="G5" s="70"/>
      <c r="H5" s="70"/>
    </row>
    <row r="6" spans="1:8" ht="13.8" x14ac:dyDescent="0.25">
      <c r="A6" s="71" t="s">
        <v>88</v>
      </c>
      <c r="B6" s="71"/>
      <c r="C6" s="71"/>
      <c r="D6" s="71"/>
      <c r="E6" s="71"/>
      <c r="F6" s="71"/>
      <c r="G6" s="71"/>
      <c r="H6" s="71"/>
    </row>
    <row r="7" spans="1:8" ht="21" x14ac:dyDescent="0.4">
      <c r="A7" s="4"/>
    </row>
    <row r="9" spans="1:8" x14ac:dyDescent="0.25">
      <c r="A9" s="8" t="s">
        <v>89</v>
      </c>
      <c r="B9" s="9" t="s">
        <v>24</v>
      </c>
      <c r="C9" s="10" t="s">
        <v>90</v>
      </c>
      <c r="D9" s="11" t="s">
        <v>24</v>
      </c>
      <c r="E9" s="11"/>
      <c r="F9" s="72" t="s">
        <v>91</v>
      </c>
      <c r="G9" s="72"/>
      <c r="H9" s="72"/>
    </row>
    <row r="10" spans="1:8" s="1" customFormat="1" ht="30" customHeight="1" x14ac:dyDescent="0.25">
      <c r="A10" s="8" t="s">
        <v>92</v>
      </c>
      <c r="B10" s="9" t="s">
        <v>91</v>
      </c>
      <c r="C10" s="10" t="s">
        <v>93</v>
      </c>
      <c r="D10" s="10" t="s">
        <v>94</v>
      </c>
      <c r="E10" s="12" t="s">
        <v>95</v>
      </c>
      <c r="F10" s="10" t="s">
        <v>96</v>
      </c>
      <c r="G10" s="13" t="s">
        <v>97</v>
      </c>
      <c r="H10" s="9" t="s">
        <v>98</v>
      </c>
    </row>
    <row r="11" spans="1:8" s="1" customFormat="1" x14ac:dyDescent="0.25">
      <c r="A11" s="8"/>
      <c r="B11" s="9" t="s">
        <v>99</v>
      </c>
      <c r="C11" s="10" t="s">
        <v>100</v>
      </c>
      <c r="D11" s="14"/>
      <c r="E11" s="12" t="s">
        <v>101</v>
      </c>
      <c r="F11" s="12" t="s">
        <v>101</v>
      </c>
      <c r="G11" s="12" t="s">
        <v>101</v>
      </c>
      <c r="H11" s="9"/>
    </row>
    <row r="12" spans="1:8" s="1" customFormat="1" ht="13.8" thickBot="1" x14ac:dyDescent="0.3">
      <c r="A12" s="15"/>
      <c r="B12" s="16"/>
      <c r="C12" s="17"/>
      <c r="D12" s="18"/>
      <c r="E12" s="18"/>
      <c r="F12" s="18"/>
      <c r="G12" s="18"/>
      <c r="H12" s="16"/>
    </row>
    <row r="13" spans="1:8" x14ac:dyDescent="0.25">
      <c r="C13" s="29"/>
      <c r="D13" s="29"/>
      <c r="E13" s="29"/>
      <c r="F13" s="30"/>
      <c r="G13" s="30"/>
    </row>
    <row r="14" spans="1:8" ht="14.1" customHeight="1" x14ac:dyDescent="0.25">
      <c r="A14" s="1" t="s">
        <v>45</v>
      </c>
      <c r="B14" s="19">
        <f>+C14/8760/D14</f>
        <v>0.58936597418104908</v>
      </c>
      <c r="C14" s="7">
        <f>'2017 Capacity Calc'!E10</f>
        <v>56993678507</v>
      </c>
      <c r="D14" s="7">
        <f>'2017 Capacity Calc'!F10</f>
        <v>11039198</v>
      </c>
      <c r="E14" s="22"/>
      <c r="F14" s="22">
        <f>'[1]RS(T)-1'!$P$62</f>
        <v>27467906.102011632</v>
      </c>
      <c r="G14" s="22"/>
      <c r="H14" s="20">
        <f>+C14/8760/F14</f>
        <v>0.23686289225267912</v>
      </c>
    </row>
    <row r="15" spans="1:8" ht="14.1" customHeight="1" x14ac:dyDescent="0.25">
      <c r="A15" s="1" t="s">
        <v>48</v>
      </c>
      <c r="B15" s="19">
        <f t="shared" ref="B15:B27" si="0">+C15/8760/D15</f>
        <v>0.64794658305165942</v>
      </c>
      <c r="C15" s="7">
        <f>'2017 Capacity Calc'!E11</f>
        <v>5968792122</v>
      </c>
      <c r="D15" s="7">
        <f>'2017 Capacity Calc'!F11</f>
        <v>1051582</v>
      </c>
      <c r="E15" s="22"/>
      <c r="F15" s="22">
        <f>'[1]GS(T)-1'!$P$63</f>
        <v>2009590.6341945103</v>
      </c>
      <c r="G15" s="22"/>
      <c r="H15" s="20">
        <f>+C15/8760/F15</f>
        <v>0.33905858840337316</v>
      </c>
    </row>
    <row r="16" spans="1:8" s="28" customFormat="1" ht="14.1" customHeight="1" x14ac:dyDescent="0.25">
      <c r="A16" s="23" t="s">
        <v>78</v>
      </c>
      <c r="B16" s="24">
        <f t="shared" si="0"/>
        <v>0.7250742285119306</v>
      </c>
      <c r="C16" s="25">
        <f>'2017 Capacity Calc'!E12</f>
        <v>25825428784</v>
      </c>
      <c r="D16" s="25">
        <f>'2017 Capacity Calc'!F12</f>
        <v>4065940</v>
      </c>
      <c r="E16" s="26"/>
      <c r="F16" s="26">
        <f>'[1]GSD(T)-1'!$P$63</f>
        <v>5878166.3280035565</v>
      </c>
      <c r="G16" s="26"/>
      <c r="H16" s="27">
        <f>+C16/8760/F16</f>
        <v>0.50153536735274484</v>
      </c>
    </row>
    <row r="17" spans="1:8" ht="14.1" customHeight="1" x14ac:dyDescent="0.25">
      <c r="A17" s="1" t="s">
        <v>53</v>
      </c>
      <c r="B17" s="19">
        <f t="shared" si="0"/>
        <v>0.91880190616285118</v>
      </c>
      <c r="C17" s="7">
        <f>'2017 Capacity Calc'!E13</f>
        <v>10793313</v>
      </c>
      <c r="D17" s="7">
        <f>'2017 Capacity Calc'!F13</f>
        <v>1341</v>
      </c>
      <c r="E17" s="22"/>
      <c r="F17" s="22">
        <f>'[1]OS-2'!$P$62</f>
        <v>12941.093632980663</v>
      </c>
      <c r="G17" s="22"/>
      <c r="H17" s="20">
        <f>+C17/8760/F17</f>
        <v>9.5209368783509565E-2</v>
      </c>
    </row>
    <row r="18" spans="1:8" s="28" customFormat="1" ht="14.1" customHeight="1" x14ac:dyDescent="0.25">
      <c r="A18" s="23" t="s">
        <v>79</v>
      </c>
      <c r="B18" s="24">
        <f t="shared" si="0"/>
        <v>0.72999447370268022</v>
      </c>
      <c r="C18" s="25">
        <f>'2017 Capacity Calc'!E14</f>
        <v>10507497706</v>
      </c>
      <c r="D18" s="25">
        <f>'2017 Capacity Calc'!F14</f>
        <v>1643144</v>
      </c>
      <c r="E18" s="26"/>
      <c r="F18" s="26">
        <f>'[1]GSLD(T)-1'!$P$62</f>
        <v>2115063.1152586355</v>
      </c>
      <c r="G18" s="26"/>
      <c r="H18" s="27">
        <f>+C18/8760/F18</f>
        <v>0.5671159554740004</v>
      </c>
    </row>
    <row r="19" spans="1:8" s="28" customFormat="1" ht="14.1" customHeight="1" x14ac:dyDescent="0.25">
      <c r="A19" s="23" t="s">
        <v>80</v>
      </c>
      <c r="B19" s="24">
        <f t="shared" si="0"/>
        <v>0.87345961333713062</v>
      </c>
      <c r="C19" s="25">
        <f>'2017 Capacity Calc'!E15</f>
        <v>2515470925</v>
      </c>
      <c r="D19" s="25">
        <f>'2017 Capacity Calc'!F15</f>
        <v>328755</v>
      </c>
      <c r="E19" s="26"/>
      <c r="F19" s="26">
        <f>'[1]GSLD(T)-2'!$P$62</f>
        <v>436458.30541833135</v>
      </c>
      <c r="G19" s="26"/>
      <c r="H19" s="27">
        <f t="shared" ref="H19:H21" si="1">+C19/8760/F19</f>
        <v>0.65791900765279343</v>
      </c>
    </row>
    <row r="20" spans="1:8" s="28" customFormat="1" ht="14.1" customHeight="1" x14ac:dyDescent="0.25">
      <c r="A20" s="28" t="s">
        <v>81</v>
      </c>
      <c r="B20" s="24">
        <f t="shared" si="0"/>
        <v>0.85789890463724527</v>
      </c>
      <c r="C20" s="25">
        <f>'2017 Capacity Calc'!E16</f>
        <v>172992260</v>
      </c>
      <c r="D20" s="25">
        <f>'2017 Capacity Calc'!F16</f>
        <v>23019</v>
      </c>
      <c r="E20" s="26"/>
      <c r="F20" s="26"/>
      <c r="G20" s="32">
        <f>'[1]GSLD(T)-3'!$P$63</f>
        <v>35269.927466604626</v>
      </c>
      <c r="H20" s="33">
        <f>+C20/8760/G20</f>
        <v>0.55990971074559603</v>
      </c>
    </row>
    <row r="21" spans="1:8" ht="14.1" customHeight="1" x14ac:dyDescent="0.25">
      <c r="A21" s="1" t="s">
        <v>83</v>
      </c>
      <c r="B21" s="19">
        <f t="shared" si="0"/>
        <v>0.78013277538720671</v>
      </c>
      <c r="C21" s="7">
        <f>'2017 Capacity Calc'!E17</f>
        <v>11856926</v>
      </c>
      <c r="D21" s="7">
        <f>'2017 Capacity Calc'!F17</f>
        <v>1735</v>
      </c>
      <c r="E21" s="22"/>
      <c r="F21" s="22">
        <f>'[1]SST-1D'!$P$62</f>
        <v>4559.8342849388291</v>
      </c>
      <c r="G21" s="34"/>
      <c r="H21" s="35">
        <f t="shared" si="1"/>
        <v>0.29683762187751556</v>
      </c>
    </row>
    <row r="22" spans="1:8" ht="14.1" customHeight="1" x14ac:dyDescent="0.25">
      <c r="A22" s="1" t="s">
        <v>82</v>
      </c>
      <c r="B22" s="19">
        <f>+C22/8760/D22</f>
        <v>1.0702681908374059</v>
      </c>
      <c r="C22" s="7">
        <f>'2017 Capacity Calc'!E18</f>
        <v>89667754</v>
      </c>
      <c r="D22" s="7">
        <f>'2017 Capacity Calc'!F18</f>
        <v>9564</v>
      </c>
      <c r="E22" s="22"/>
      <c r="F22" s="22">
        <f>'[1]SST-1T'!$P$62</f>
        <v>90426.896702376936</v>
      </c>
      <c r="G22" s="34"/>
      <c r="H22" s="35">
        <f>+C22/8760/F22</f>
        <v>0.11319690656706886</v>
      </c>
    </row>
    <row r="23" spans="1:8" s="28" customFormat="1" ht="14.1" customHeight="1" x14ac:dyDescent="0.25">
      <c r="A23" s="28" t="s">
        <v>84</v>
      </c>
      <c r="B23" s="24">
        <f t="shared" si="0"/>
        <v>0.86999673748559492</v>
      </c>
      <c r="C23" s="25">
        <f>'2017 Capacity Calc'!E19</f>
        <v>2789043893</v>
      </c>
      <c r="D23" s="25">
        <f>'2017 Capacity Calc'!F19</f>
        <v>365960</v>
      </c>
      <c r="E23" s="26"/>
      <c r="F23" s="26"/>
      <c r="G23" s="32">
        <f>'[1]CILC-1D &amp; CILC-1G'!$P$63</f>
        <v>429418.41645449324</v>
      </c>
      <c r="H23" s="33">
        <f>+C23/8760/G23</f>
        <v>0.74143072083162143</v>
      </c>
    </row>
    <row r="24" spans="1:8" s="28" customFormat="1" ht="14.1" customHeight="1" x14ac:dyDescent="0.25">
      <c r="A24" s="28" t="s">
        <v>66</v>
      </c>
      <c r="B24" s="24">
        <f t="shared" si="0"/>
        <v>0.90923413884419879</v>
      </c>
      <c r="C24" s="25">
        <f>'2017 Capacity Calc'!E20</f>
        <v>1508335314</v>
      </c>
      <c r="D24" s="25">
        <f>'2017 Capacity Calc'!F20</f>
        <v>189373</v>
      </c>
      <c r="E24" s="26"/>
      <c r="F24" s="26"/>
      <c r="G24" s="32">
        <f>'[1]CILC-1T'!$P$63</f>
        <v>225558.74252306754</v>
      </c>
      <c r="H24" s="33">
        <f>+C24/8760/G24</f>
        <v>0.7633683121714222</v>
      </c>
    </row>
    <row r="25" spans="1:8" ht="14.1" customHeight="1" x14ac:dyDescent="0.25">
      <c r="A25" s="1" t="s">
        <v>68</v>
      </c>
      <c r="B25" s="19">
        <f t="shared" si="0"/>
        <v>0.71417147514048007</v>
      </c>
      <c r="C25" s="7">
        <f>'2017 Capacity Calc'!E21</f>
        <v>91208296</v>
      </c>
      <c r="D25" s="7">
        <f>'2017 Capacity Calc'!F21</f>
        <v>14579</v>
      </c>
      <c r="E25" s="22">
        <f>[1]MET!$P$61</f>
        <v>16113.074580118737</v>
      </c>
      <c r="F25" s="22"/>
      <c r="G25" s="22"/>
      <c r="H25" s="20">
        <f>+$C25/8760/E25</f>
        <v>0.64617748054861501</v>
      </c>
    </row>
    <row r="26" spans="1:8" ht="14.1" customHeight="1" x14ac:dyDescent="0.25">
      <c r="A26" s="1" t="s">
        <v>85</v>
      </c>
      <c r="B26" s="19">
        <f t="shared" si="0"/>
        <v>5.8503739510382067</v>
      </c>
      <c r="C26" s="7">
        <f>'2017 Capacity Calc'!E22</f>
        <v>658706942</v>
      </c>
      <c r="D26" s="7">
        <f>'2017 Capacity Calc'!F22</f>
        <v>12853</v>
      </c>
      <c r="E26" s="22"/>
      <c r="F26" s="22">
        <f>'[1]OL-1 &amp; SL-1'!$P$62</f>
        <v>153650.38642725619</v>
      </c>
      <c r="G26" s="22"/>
      <c r="H26" s="20">
        <f>+C26/8760/F26</f>
        <v>0.48938930868419334</v>
      </c>
    </row>
    <row r="27" spans="1:8" ht="14.1" customHeight="1" x14ac:dyDescent="0.25">
      <c r="A27" s="1" t="s">
        <v>86</v>
      </c>
      <c r="B27" s="19">
        <f t="shared" si="0"/>
        <v>0.94826598173515986</v>
      </c>
      <c r="C27" s="7">
        <f>'2017 Capacity Calc'!E23</f>
        <v>103004444</v>
      </c>
      <c r="D27" s="7">
        <f>'2017 Capacity Calc'!F23</f>
        <v>12400</v>
      </c>
      <c r="E27" s="22"/>
      <c r="F27" s="22">
        <f>'[1]GSCU-1 &amp; SL-2'!$P$63</f>
        <v>12695.926255080072</v>
      </c>
      <c r="G27" s="22"/>
      <c r="H27" s="20">
        <f>+C27/8760/F27</f>
        <v>0.92616308076072873</v>
      </c>
    </row>
    <row r="28" spans="1:8" x14ac:dyDescent="0.25">
      <c r="E28" s="22"/>
      <c r="F28" s="22"/>
      <c r="G28" s="22"/>
      <c r="H28" s="20"/>
    </row>
    <row r="29" spans="1:8" ht="13.8" thickBot="1" x14ac:dyDescent="0.3">
      <c r="A29" s="3" t="s">
        <v>72</v>
      </c>
      <c r="C29" s="21">
        <f>SUM(C14:C28)</f>
        <v>107246477186</v>
      </c>
      <c r="D29" s="21">
        <f t="shared" ref="D29:G29" si="2">SUM(D14:D28)</f>
        <v>18759443</v>
      </c>
      <c r="E29" s="21">
        <f t="shared" si="2"/>
        <v>16113.074580118737</v>
      </c>
      <c r="F29" s="21">
        <f t="shared" si="2"/>
        <v>38181458.622189298</v>
      </c>
      <c r="G29" s="21">
        <f t="shared" si="2"/>
        <v>690247.08644416544</v>
      </c>
    </row>
    <row r="30" spans="1:8" ht="13.8" thickTop="1" x14ac:dyDescent="0.25"/>
    <row r="32" spans="1:8" x14ac:dyDescent="0.25">
      <c r="A32" s="3" t="s">
        <v>102</v>
      </c>
    </row>
    <row r="33" spans="1:7" x14ac:dyDescent="0.25">
      <c r="A33" s="3" t="s">
        <v>103</v>
      </c>
    </row>
    <row r="34" spans="1:7" x14ac:dyDescent="0.25">
      <c r="A34" s="2" t="s">
        <v>104</v>
      </c>
    </row>
    <row r="35" spans="1:7" x14ac:dyDescent="0.25">
      <c r="A35" s="2" t="s">
        <v>105</v>
      </c>
    </row>
    <row r="36" spans="1:7" x14ac:dyDescent="0.25">
      <c r="A36" s="1" t="s">
        <v>106</v>
      </c>
    </row>
    <row r="37" spans="1:7" s="5" customFormat="1" x14ac:dyDescent="0.25">
      <c r="A37" s="1" t="s">
        <v>107</v>
      </c>
      <c r="C37" s="6"/>
      <c r="D37" s="6"/>
      <c r="E37" s="6"/>
      <c r="F37" s="7"/>
      <c r="G37" s="7"/>
    </row>
    <row r="38" spans="1:7" s="5" customFormat="1" x14ac:dyDescent="0.25">
      <c r="A38" s="1" t="s">
        <v>108</v>
      </c>
      <c r="C38" s="6"/>
      <c r="D38" s="6"/>
      <c r="E38" s="6"/>
      <c r="F38" s="7"/>
      <c r="G38" s="7"/>
    </row>
    <row r="39" spans="1:7" s="5" customFormat="1" x14ac:dyDescent="0.25">
      <c r="A39" s="1" t="s">
        <v>109</v>
      </c>
      <c r="C39" s="6"/>
      <c r="D39" s="6"/>
      <c r="E39" s="6"/>
      <c r="F39" s="7"/>
      <c r="G39" s="7"/>
    </row>
    <row r="40" spans="1:7" s="5" customFormat="1" x14ac:dyDescent="0.25">
      <c r="A40" s="1" t="s">
        <v>110</v>
      </c>
      <c r="C40" s="6"/>
      <c r="D40" s="6"/>
      <c r="E40" s="6"/>
      <c r="F40" s="7"/>
      <c r="G40" s="7"/>
    </row>
  </sheetData>
  <mergeCells count="4">
    <mergeCell ref="A4:H4"/>
    <mergeCell ref="A5:H5"/>
    <mergeCell ref="A6:H6"/>
    <mergeCell ref="F9:H9"/>
  </mergeCells>
  <printOptions horizontalCentered="1"/>
  <pageMargins left="0" right="0" top="0.75" bottom="0.5" header="0.5" footer="0.5"/>
  <pageSetup scale="9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4"/>
  <sheetViews>
    <sheetView topLeftCell="C1" zoomScaleNormal="100" workbookViewId="0">
      <selection activeCell="C2" sqref="C1:C2"/>
    </sheetView>
  </sheetViews>
  <sheetFormatPr defaultColWidth="9.109375" defaultRowHeight="13.8" x14ac:dyDescent="0.3"/>
  <cols>
    <col min="1" max="2" width="0" style="51" hidden="1" customWidth="1"/>
    <col min="3" max="3" width="33.33203125" style="51" customWidth="1"/>
    <col min="4" max="4" width="9.44140625" style="51" bestFit="1" customWidth="1"/>
    <col min="5" max="5" width="15" style="51" bestFit="1" customWidth="1"/>
    <col min="6" max="6" width="12" style="51" bestFit="1" customWidth="1"/>
    <col min="7" max="7" width="11" style="51" bestFit="1" customWidth="1"/>
    <col min="8" max="8" width="13" style="51" customWidth="1"/>
    <col min="9" max="9" width="15" style="51" bestFit="1" customWidth="1"/>
    <col min="10" max="10" width="10.44140625" style="51" bestFit="1" customWidth="1"/>
    <col min="11" max="11" width="11.44140625" style="51" customWidth="1"/>
    <col min="12" max="12" width="10.44140625" style="51" bestFit="1" customWidth="1"/>
    <col min="13" max="13" width="4.6640625" style="51" customWidth="1"/>
    <col min="14" max="14" width="32.33203125" style="51" customWidth="1"/>
    <col min="15" max="15" width="32.33203125" style="51" hidden="1" customWidth="1"/>
    <col min="16" max="17" width="9.6640625" style="51" bestFit="1" customWidth="1"/>
    <col min="18" max="18" width="11.44140625" style="51" bestFit="1" customWidth="1"/>
    <col min="19" max="19" width="12.44140625" style="51" bestFit="1" customWidth="1"/>
    <col min="20" max="20" width="15.5546875" style="51" bestFit="1" customWidth="1"/>
    <col min="21" max="21" width="15" style="51" bestFit="1" customWidth="1"/>
    <col min="22" max="22" width="12.5546875" style="51" customWidth="1"/>
    <col min="23" max="23" width="12.44140625" style="51" bestFit="1" customWidth="1"/>
    <col min="24" max="24" width="9.44140625" style="51" bestFit="1" customWidth="1"/>
    <col min="25" max="25" width="9" style="51" bestFit="1" customWidth="1"/>
    <col min="26" max="27" width="9.44140625" style="51" bestFit="1" customWidth="1"/>
    <col min="28" max="16384" width="9.109375" style="51"/>
  </cols>
  <sheetData>
    <row r="1" spans="1:27" x14ac:dyDescent="0.3">
      <c r="C1" s="73" t="s">
        <v>122</v>
      </c>
    </row>
    <row r="2" spans="1:27" x14ac:dyDescent="0.3">
      <c r="C2" s="73" t="s">
        <v>120</v>
      </c>
    </row>
    <row r="4" spans="1:27" x14ac:dyDescent="0.3">
      <c r="B4" s="36"/>
      <c r="C4" s="36"/>
      <c r="D4" s="37" t="s">
        <v>2</v>
      </c>
      <c r="E4" s="37" t="s">
        <v>3</v>
      </c>
      <c r="F4" s="37" t="s">
        <v>4</v>
      </c>
      <c r="G4" s="37" t="s">
        <v>5</v>
      </c>
      <c r="H4" s="37" t="s">
        <v>6</v>
      </c>
      <c r="I4" s="37" t="s">
        <v>7</v>
      </c>
      <c r="J4" s="37" t="s">
        <v>8</v>
      </c>
      <c r="K4" s="37" t="s">
        <v>9</v>
      </c>
      <c r="L4" s="37" t="s">
        <v>10</v>
      </c>
      <c r="M4" s="36"/>
      <c r="N4" s="36"/>
      <c r="O4" s="36"/>
      <c r="P4" s="37" t="s">
        <v>2</v>
      </c>
      <c r="Q4" s="37" t="s">
        <v>3</v>
      </c>
      <c r="R4" s="37" t="s">
        <v>4</v>
      </c>
      <c r="S4" s="37" t="s">
        <v>5</v>
      </c>
      <c r="T4" s="37" t="s">
        <v>6</v>
      </c>
      <c r="U4" s="37" t="s">
        <v>7</v>
      </c>
      <c r="V4" s="37" t="s">
        <v>8</v>
      </c>
      <c r="W4" s="37" t="s">
        <v>9</v>
      </c>
      <c r="X4" s="37" t="s">
        <v>10</v>
      </c>
      <c r="Y4" s="37" t="s">
        <v>11</v>
      </c>
    </row>
    <row r="5" spans="1:27" x14ac:dyDescent="0.3">
      <c r="B5" s="36"/>
      <c r="C5" s="36"/>
      <c r="D5" s="37" t="s">
        <v>12</v>
      </c>
      <c r="E5" s="37" t="s">
        <v>13</v>
      </c>
      <c r="F5" s="37" t="s">
        <v>13</v>
      </c>
      <c r="G5" s="37" t="s">
        <v>14</v>
      </c>
      <c r="H5" s="37" t="s">
        <v>15</v>
      </c>
      <c r="I5" s="37" t="s">
        <v>13</v>
      </c>
      <c r="J5" s="37" t="s">
        <v>13</v>
      </c>
      <c r="K5" s="37" t="s">
        <v>16</v>
      </c>
      <c r="L5" s="37" t="s">
        <v>16</v>
      </c>
      <c r="M5" s="36"/>
      <c r="N5" s="36"/>
      <c r="O5" s="36"/>
      <c r="P5" s="37" t="s">
        <v>16</v>
      </c>
      <c r="Q5" s="37" t="s">
        <v>16</v>
      </c>
      <c r="R5" s="37" t="s">
        <v>15</v>
      </c>
      <c r="S5" s="37" t="s">
        <v>14</v>
      </c>
      <c r="T5" s="37" t="s">
        <v>17</v>
      </c>
      <c r="U5" s="37" t="s">
        <v>13</v>
      </c>
      <c r="V5" s="37" t="s">
        <v>18</v>
      </c>
      <c r="W5" s="37" t="s">
        <v>19</v>
      </c>
      <c r="X5" s="37" t="s">
        <v>20</v>
      </c>
      <c r="Y5" s="37" t="s">
        <v>20</v>
      </c>
    </row>
    <row r="6" spans="1:27" x14ac:dyDescent="0.3">
      <c r="B6" s="36"/>
      <c r="C6" s="38" t="s">
        <v>21</v>
      </c>
      <c r="D6" s="37" t="s">
        <v>22</v>
      </c>
      <c r="E6" s="37" t="s">
        <v>23</v>
      </c>
      <c r="F6" s="37" t="s">
        <v>24</v>
      </c>
      <c r="G6" s="37" t="s">
        <v>25</v>
      </c>
      <c r="H6" s="37" t="s">
        <v>25</v>
      </c>
      <c r="I6" s="37" t="s">
        <v>23</v>
      </c>
      <c r="J6" s="37" t="s">
        <v>24</v>
      </c>
      <c r="K6" s="37" t="s">
        <v>26</v>
      </c>
      <c r="L6" s="37" t="s">
        <v>27</v>
      </c>
      <c r="M6" s="36"/>
      <c r="N6" s="38" t="s">
        <v>21</v>
      </c>
      <c r="O6" s="38"/>
      <c r="P6" s="37" t="s">
        <v>26</v>
      </c>
      <c r="Q6" s="37" t="s">
        <v>27</v>
      </c>
      <c r="R6" s="37" t="s">
        <v>28</v>
      </c>
      <c r="S6" s="37" t="s">
        <v>28</v>
      </c>
      <c r="T6" s="37" t="s">
        <v>20</v>
      </c>
      <c r="U6" s="37" t="s">
        <v>23</v>
      </c>
      <c r="V6" s="37" t="s">
        <v>22</v>
      </c>
      <c r="W6" s="37" t="s">
        <v>29</v>
      </c>
      <c r="X6" s="37" t="s">
        <v>30</v>
      </c>
      <c r="Y6" s="37" t="s">
        <v>30</v>
      </c>
    </row>
    <row r="7" spans="1:27" x14ac:dyDescent="0.3">
      <c r="B7" s="36"/>
      <c r="C7" s="36"/>
      <c r="D7" s="37" t="s">
        <v>31</v>
      </c>
      <c r="E7" s="37" t="s">
        <v>32</v>
      </c>
      <c r="F7" s="37" t="s">
        <v>31</v>
      </c>
      <c r="G7" s="37" t="s">
        <v>33</v>
      </c>
      <c r="H7" s="37" t="s">
        <v>33</v>
      </c>
      <c r="I7" s="37" t="s">
        <v>34</v>
      </c>
      <c r="J7" s="37" t="s">
        <v>35</v>
      </c>
      <c r="K7" s="37" t="s">
        <v>34</v>
      </c>
      <c r="L7" s="37" t="s">
        <v>34</v>
      </c>
      <c r="M7" s="36"/>
      <c r="N7" s="36"/>
      <c r="O7" s="36"/>
      <c r="P7" s="37" t="s">
        <v>34</v>
      </c>
      <c r="Q7" s="37" t="s">
        <v>34</v>
      </c>
      <c r="R7" s="36"/>
      <c r="S7" s="36"/>
      <c r="T7" s="37" t="s">
        <v>36</v>
      </c>
      <c r="U7" s="37" t="s">
        <v>32</v>
      </c>
      <c r="V7" s="40"/>
      <c r="W7" s="37" t="s">
        <v>31</v>
      </c>
      <c r="X7" s="37" t="s">
        <v>37</v>
      </c>
      <c r="Y7" s="37" t="s">
        <v>37</v>
      </c>
      <c r="Z7" s="37" t="s">
        <v>111</v>
      </c>
      <c r="AA7" s="37" t="s">
        <v>112</v>
      </c>
    </row>
    <row r="8" spans="1:27" x14ac:dyDescent="0.3">
      <c r="B8" s="36"/>
      <c r="C8" s="36"/>
      <c r="D8" s="37" t="s">
        <v>38</v>
      </c>
      <c r="E8" s="37" t="s">
        <v>39</v>
      </c>
      <c r="F8" s="37" t="s">
        <v>40</v>
      </c>
      <c r="G8" s="37" t="s">
        <v>37</v>
      </c>
      <c r="H8" s="37" t="s">
        <v>37</v>
      </c>
      <c r="I8" s="37" t="s">
        <v>39</v>
      </c>
      <c r="J8" s="37" t="s">
        <v>40</v>
      </c>
      <c r="K8" s="37" t="s">
        <v>38</v>
      </c>
      <c r="L8" s="37" t="s">
        <v>38</v>
      </c>
      <c r="M8" s="36"/>
      <c r="N8" s="36"/>
      <c r="O8" s="36"/>
      <c r="P8" s="37" t="s">
        <v>38</v>
      </c>
      <c r="Q8" s="37" t="s">
        <v>38</v>
      </c>
      <c r="R8" s="37" t="s">
        <v>41</v>
      </c>
      <c r="S8" s="37" t="s">
        <v>41</v>
      </c>
      <c r="T8" s="37" t="s">
        <v>41</v>
      </c>
      <c r="U8" s="37" t="s">
        <v>39</v>
      </c>
      <c r="V8" s="37" t="s">
        <v>38</v>
      </c>
      <c r="W8" s="37" t="s">
        <v>42</v>
      </c>
      <c r="X8" s="37" t="s">
        <v>43</v>
      </c>
      <c r="Y8" s="37" t="s">
        <v>44</v>
      </c>
      <c r="Z8" s="37" t="s">
        <v>44</v>
      </c>
      <c r="AA8" s="37" t="s">
        <v>44</v>
      </c>
    </row>
    <row r="9" spans="1:27" x14ac:dyDescent="0.3"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</row>
    <row r="10" spans="1:27" x14ac:dyDescent="0.3">
      <c r="A10" s="51" t="s">
        <v>45</v>
      </c>
      <c r="B10" s="36" t="s">
        <v>45</v>
      </c>
      <c r="C10" s="38" t="s">
        <v>46</v>
      </c>
      <c r="D10" s="52">
        <f>'[1]RS(T)-1'!$Q$68</f>
        <v>0.58600543495497959</v>
      </c>
      <c r="E10" s="53">
        <f>SUM('[1]Sales Forecast'!$AA$16:$AL$16)</f>
        <v>57361215879</v>
      </c>
      <c r="F10" s="54">
        <f>ROUND(E10/(8760*D10),0)</f>
        <v>11174101</v>
      </c>
      <c r="G10" s="55">
        <f>[5]LLS_12CP_Demand_Losses_by_Rate!$C$60</f>
        <v>1.0646691328274209</v>
      </c>
      <c r="H10" s="55">
        <f>[5]LLS_Energy_Losses_by_Rate_Clas!$C$59</f>
        <v>1.0486554726996764</v>
      </c>
      <c r="I10" s="56">
        <f>E10*H10</f>
        <v>60152152952.220932</v>
      </c>
      <c r="J10" s="56">
        <f>F10*G10</f>
        <v>11896720.421796016</v>
      </c>
      <c r="K10" s="57">
        <f>I10/$I$25</f>
        <v>0.53234232582190966</v>
      </c>
      <c r="L10" s="41">
        <f>J10/$J$25</f>
        <v>0.58944185259781157</v>
      </c>
      <c r="M10" s="36"/>
      <c r="N10" s="38" t="s">
        <v>46</v>
      </c>
      <c r="O10" s="58" t="s">
        <v>45</v>
      </c>
      <c r="P10" s="41">
        <f t="shared" ref="P10:P23" si="0">K10</f>
        <v>0.53234232582190966</v>
      </c>
      <c r="Q10" s="41">
        <f t="shared" ref="Q10:Q23" si="1">L10</f>
        <v>0.58944185259781157</v>
      </c>
      <c r="R10" s="59">
        <f>ROUND(+P10*($T$25*0.25),0)</f>
        <v>41223771</v>
      </c>
      <c r="S10" s="59">
        <f>ROUND(+Q10*($T$25*0.75),0)</f>
        <v>136936412</v>
      </c>
      <c r="T10" s="59">
        <f>R10+S10</f>
        <v>178160183</v>
      </c>
      <c r="U10" s="56">
        <f>E10</f>
        <v>57361215879</v>
      </c>
      <c r="V10" s="42"/>
      <c r="W10" s="37" t="s">
        <v>47</v>
      </c>
      <c r="X10" s="37" t="s">
        <v>47</v>
      </c>
      <c r="Y10" s="50">
        <f>ROUND(T10/U10,5)</f>
        <v>3.1099999999999999E-3</v>
      </c>
    </row>
    <row r="11" spans="1:27" x14ac:dyDescent="0.3">
      <c r="A11" s="51" t="s">
        <v>48</v>
      </c>
      <c r="B11" s="36" t="s">
        <v>48</v>
      </c>
      <c r="C11" s="38" t="s">
        <v>49</v>
      </c>
      <c r="D11" s="52">
        <f>'[1]GS(T)-1'!$Q$69</f>
        <v>0.6442654800125015</v>
      </c>
      <c r="E11" s="53">
        <f>SUM('[1]Sales Forecast'!$AA$7:$AL$7)</f>
        <v>6001791085</v>
      </c>
      <c r="F11" s="54">
        <f>ROUND(E11/(8760*D11),0)</f>
        <v>1063437</v>
      </c>
      <c r="G11" s="55">
        <f>[5]LLS_12CP_Demand_Losses_by_Rate!$C$18</f>
        <v>1.0646691322160158</v>
      </c>
      <c r="H11" s="55">
        <f>[5]LLS_Energy_Losses_by_Rate_Clas!$C$18</f>
        <v>1.0486554726996764</v>
      </c>
      <c r="I11" s="56">
        <f t="shared" ref="I11:I23" si="2">E11*H11</f>
        <v>6293811067.2853785</v>
      </c>
      <c r="J11" s="56">
        <f t="shared" ref="J11:J23" si="3">F11*G11</f>
        <v>1132208.5479564031</v>
      </c>
      <c r="K11" s="57">
        <f t="shared" ref="K11:K23" si="4">I11/$I$25</f>
        <v>5.5699785583795437E-2</v>
      </c>
      <c r="L11" s="41">
        <f t="shared" ref="L11:L23" si="5">J11/$J$25</f>
        <v>5.6097065440977152E-2</v>
      </c>
      <c r="M11" s="36"/>
      <c r="N11" s="38" t="s">
        <v>50</v>
      </c>
      <c r="O11" s="58" t="s">
        <v>48</v>
      </c>
      <c r="P11" s="41">
        <f t="shared" si="0"/>
        <v>5.5699785583795437E-2</v>
      </c>
      <c r="Q11" s="41">
        <f t="shared" si="1"/>
        <v>5.6097065440977152E-2</v>
      </c>
      <c r="R11" s="59">
        <f t="shared" ref="R11:R23" si="6">ROUND(+P11*($T$25*0.25),0)</f>
        <v>4313306</v>
      </c>
      <c r="S11" s="59">
        <f t="shared" ref="S11:S23" si="7">ROUND(+Q11*($T$25*0.75),0)</f>
        <v>13032211</v>
      </c>
      <c r="T11" s="59">
        <f t="shared" ref="T11:T23" si="8">R11+S11</f>
        <v>17345517</v>
      </c>
      <c r="U11" s="56">
        <f t="shared" ref="U11:U23" si="9">E11</f>
        <v>6001791085</v>
      </c>
      <c r="V11" s="42"/>
      <c r="W11" s="37" t="s">
        <v>47</v>
      </c>
      <c r="X11" s="44" t="s">
        <v>47</v>
      </c>
      <c r="Y11" s="50">
        <f>ROUND(T11/U11,5)</f>
        <v>2.8900000000000002E-3</v>
      </c>
    </row>
    <row r="12" spans="1:27" x14ac:dyDescent="0.3">
      <c r="A12" s="51" t="s">
        <v>51</v>
      </c>
      <c r="B12" s="36" t="s">
        <v>51</v>
      </c>
      <c r="C12" s="38" t="s">
        <v>52</v>
      </c>
      <c r="D12" s="52">
        <f>'[1]GSD(T)-1'!$Q$69</f>
        <v>0.72095715928252913</v>
      </c>
      <c r="E12" s="53">
        <f>SUM('[1]Sales Forecast'!$AA$9:$AL$9)</f>
        <v>25949742256</v>
      </c>
      <c r="F12" s="54">
        <f t="shared" ref="F12:F23" si="10">ROUND(E12/(8760*D12),0)</f>
        <v>4108842</v>
      </c>
      <c r="G12" s="55">
        <f>[5]LLS_12CP_Demand_Losses_by_Rate!$C$27</f>
        <v>1.0645832438034282</v>
      </c>
      <c r="H12" s="55">
        <f>[5]LLS_Energy_Losses_by_Rate_Clas!$C$27</f>
        <v>1.0485916395184989</v>
      </c>
      <c r="I12" s="56">
        <f t="shared" si="2"/>
        <v>27210682777.30151</v>
      </c>
      <c r="J12" s="56">
        <f t="shared" si="3"/>
        <v>4374204.3446357651</v>
      </c>
      <c r="K12" s="57">
        <f t="shared" si="4"/>
        <v>0.24081263007122403</v>
      </c>
      <c r="L12" s="41">
        <f t="shared" si="5"/>
        <v>0.21672688111756572</v>
      </c>
      <c r="M12" s="36"/>
      <c r="N12" s="38" t="s">
        <v>52</v>
      </c>
      <c r="O12" s="60" t="s">
        <v>78</v>
      </c>
      <c r="P12" s="41">
        <f t="shared" si="0"/>
        <v>0.24081263007122403</v>
      </c>
      <c r="Q12" s="41">
        <f t="shared" si="1"/>
        <v>0.21672688111756572</v>
      </c>
      <c r="R12" s="59">
        <f t="shared" si="6"/>
        <v>18648160</v>
      </c>
      <c r="S12" s="59">
        <f t="shared" si="7"/>
        <v>50348989</v>
      </c>
      <c r="T12" s="59">
        <f t="shared" si="8"/>
        <v>68997149</v>
      </c>
      <c r="U12" s="56">
        <f t="shared" si="9"/>
        <v>25949742256</v>
      </c>
      <c r="V12" s="41">
        <f>+VLOOKUP($O12,'2018 Clause Allocations'!A14:H27,8,FALSE)</f>
        <v>0.50155091654498307</v>
      </c>
      <c r="W12" s="61">
        <f>ROUND(U12/(V12*730),0)</f>
        <v>70875341</v>
      </c>
      <c r="X12" s="48">
        <f>ROUND(T12/W12,2)</f>
        <v>0.97</v>
      </c>
      <c r="Y12" s="37" t="s">
        <v>47</v>
      </c>
      <c r="Z12" s="62"/>
      <c r="AA12" s="63"/>
    </row>
    <row r="13" spans="1:27" x14ac:dyDescent="0.3">
      <c r="A13" s="51" t="s">
        <v>53</v>
      </c>
      <c r="B13" s="36" t="s">
        <v>53</v>
      </c>
      <c r="C13" s="38" t="s">
        <v>54</v>
      </c>
      <c r="D13" s="52">
        <f>'[1]OS-2'!$Q$68</f>
        <v>0.91441212893786994</v>
      </c>
      <c r="E13" s="53">
        <f>SUM('[1]Sales Forecast'!$AA$15:$AL$15)</f>
        <v>10819466</v>
      </c>
      <c r="F13" s="54">
        <f t="shared" si="10"/>
        <v>1351</v>
      </c>
      <c r="G13" s="55">
        <f>[5]LLS_12CP_Demand_Losses_by_Rate!$C$54</f>
        <v>1.0571766406453194</v>
      </c>
      <c r="H13" s="55">
        <f>[5]LLS_Energy_Losses_by_Rate_Clas!$C$53</f>
        <v>1.0266324251987167</v>
      </c>
      <c r="I13" s="56">
        <f t="shared" si="2"/>
        <v>11107614.618935058</v>
      </c>
      <c r="J13" s="56">
        <f t="shared" si="3"/>
        <v>1428.2456415118265</v>
      </c>
      <c r="K13" s="57">
        <f t="shared" si="4"/>
        <v>9.8301608676818142E-5</v>
      </c>
      <c r="L13" s="41">
        <f t="shared" si="5"/>
        <v>7.0764692036898885E-5</v>
      </c>
      <c r="M13" s="36"/>
      <c r="N13" s="38" t="s">
        <v>54</v>
      </c>
      <c r="O13" s="58" t="s">
        <v>53</v>
      </c>
      <c r="P13" s="41">
        <f t="shared" si="0"/>
        <v>9.8301608676818142E-5</v>
      </c>
      <c r="Q13" s="41">
        <f t="shared" si="1"/>
        <v>7.0764692036898885E-5</v>
      </c>
      <c r="R13" s="59">
        <f t="shared" si="6"/>
        <v>7612</v>
      </c>
      <c r="S13" s="59">
        <f t="shared" si="7"/>
        <v>16440</v>
      </c>
      <c r="T13" s="59">
        <f t="shared" si="8"/>
        <v>24052</v>
      </c>
      <c r="U13" s="56">
        <f t="shared" si="9"/>
        <v>10819466</v>
      </c>
      <c r="V13" s="41"/>
      <c r="W13" s="61"/>
      <c r="X13" s="44" t="s">
        <v>47</v>
      </c>
      <c r="Y13" s="50">
        <f>ROUND(T13/U13,5)</f>
        <v>2.2200000000000002E-3</v>
      </c>
      <c r="Z13" s="62"/>
      <c r="AA13" s="68"/>
    </row>
    <row r="14" spans="1:27" x14ac:dyDescent="0.3">
      <c r="A14" s="51" t="s">
        <v>55</v>
      </c>
      <c r="B14" s="36" t="s">
        <v>55</v>
      </c>
      <c r="C14" s="38" t="s">
        <v>56</v>
      </c>
      <c r="D14" s="52">
        <f>'[1]GSLD(T)-1'!$Q$68</f>
        <v>0.72584879896509791</v>
      </c>
      <c r="E14" s="53">
        <f>SUM('[1]Sales Forecast'!$AA$10:$AL$10)</f>
        <v>10561627481</v>
      </c>
      <c r="F14" s="54">
        <f t="shared" si="10"/>
        <v>1661042</v>
      </c>
      <c r="G14" s="55">
        <f>[5]LLS_12CP_Demand_Losses_by_Rate!$C$32</f>
        <v>1.0634959822708607</v>
      </c>
      <c r="H14" s="55">
        <f>[5]LLS_Energy_Losses_by_Rate_Clas!$C$32</f>
        <v>1.04780936213973</v>
      </c>
      <c r="I14" s="56">
        <f t="shared" si="2"/>
        <v>11066572154.024054</v>
      </c>
      <c r="J14" s="56">
        <f t="shared" si="3"/>
        <v>1766511.493383155</v>
      </c>
      <c r="K14" s="57">
        <f t="shared" si="4"/>
        <v>9.7938385747033022E-2</v>
      </c>
      <c r="L14" s="41">
        <f t="shared" si="5"/>
        <v>8.7524609335813741E-2</v>
      </c>
      <c r="M14" s="36"/>
      <c r="N14" s="38" t="s">
        <v>56</v>
      </c>
      <c r="O14" s="60" t="s">
        <v>79</v>
      </c>
      <c r="P14" s="41">
        <f t="shared" si="0"/>
        <v>9.7938385747033022E-2</v>
      </c>
      <c r="Q14" s="41">
        <f t="shared" si="1"/>
        <v>8.7524609335813741E-2</v>
      </c>
      <c r="R14" s="59">
        <f t="shared" si="6"/>
        <v>7584198</v>
      </c>
      <c r="S14" s="59">
        <f t="shared" si="7"/>
        <v>20333314</v>
      </c>
      <c r="T14" s="59">
        <f t="shared" si="8"/>
        <v>27917512</v>
      </c>
      <c r="U14" s="56">
        <f t="shared" si="9"/>
        <v>10561627481</v>
      </c>
      <c r="V14" s="41">
        <f>+VLOOKUP($O14,'2018 Clause Allocations'!A16:H29,8,FALSE)</f>
        <v>0.56712261429768029</v>
      </c>
      <c r="W14" s="61">
        <f t="shared" ref="W14:W21" si="11">ROUND(U14/(V14*730),0)</f>
        <v>25511208</v>
      </c>
      <c r="X14" s="48">
        <f t="shared" ref="X14:X16" si="12">ROUND(T14/W14,2)</f>
        <v>1.0900000000000001</v>
      </c>
      <c r="Y14" s="37" t="s">
        <v>47</v>
      </c>
      <c r="Z14" s="62"/>
      <c r="AA14" s="63"/>
    </row>
    <row r="15" spans="1:27" x14ac:dyDescent="0.3">
      <c r="A15" s="51" t="s">
        <v>57</v>
      </c>
      <c r="B15" s="36" t="s">
        <v>57</v>
      </c>
      <c r="C15" s="38" t="s">
        <v>58</v>
      </c>
      <c r="D15" s="52">
        <f>'[1]GSLD(T)-2'!$Q$68</f>
        <v>0.86841877290340996</v>
      </c>
      <c r="E15" s="53">
        <f>SUM('[1]Sales Forecast'!$AA$11:$AL$11)</f>
        <v>2511431587</v>
      </c>
      <c r="F15" s="54">
        <f t="shared" si="10"/>
        <v>330132</v>
      </c>
      <c r="G15" s="55">
        <f>[5]LLS_12CP_Demand_Losses_by_Rate!$C$37</f>
        <v>1.0549746694884183</v>
      </c>
      <c r="H15" s="55">
        <f>[5]LLS_Energy_Losses_by_Rate_Clas!$C$37</f>
        <v>1.0411291709359818</v>
      </c>
      <c r="I15" s="56">
        <f t="shared" si="2"/>
        <v>2614724686.0357471</v>
      </c>
      <c r="J15" s="56">
        <f t="shared" si="3"/>
        <v>348280.89758755051</v>
      </c>
      <c r="K15" s="57">
        <f t="shared" si="4"/>
        <v>2.3140129695006027E-2</v>
      </c>
      <c r="L15" s="41">
        <f t="shared" si="5"/>
        <v>1.7256128598459756E-2</v>
      </c>
      <c r="M15" s="36"/>
      <c r="N15" s="38" t="s">
        <v>59</v>
      </c>
      <c r="O15" s="60" t="s">
        <v>80</v>
      </c>
      <c r="P15" s="41">
        <f t="shared" si="0"/>
        <v>2.3140129695006027E-2</v>
      </c>
      <c r="Q15" s="41">
        <f t="shared" si="1"/>
        <v>1.7256128598459756E-2</v>
      </c>
      <c r="R15" s="59">
        <f t="shared" si="6"/>
        <v>1791936</v>
      </c>
      <c r="S15" s="59">
        <f t="shared" si="7"/>
        <v>4008864</v>
      </c>
      <c r="T15" s="59">
        <f t="shared" si="8"/>
        <v>5800800</v>
      </c>
      <c r="U15" s="56">
        <f t="shared" si="9"/>
        <v>2511431587</v>
      </c>
      <c r="V15" s="41">
        <f>+VLOOKUP($O15,'2018 Clause Allocations'!A17:H30,8,FALSE)</f>
        <v>0.65787943897492696</v>
      </c>
      <c r="W15" s="61">
        <f t="shared" si="11"/>
        <v>5229404</v>
      </c>
      <c r="X15" s="48">
        <f t="shared" si="12"/>
        <v>1.1100000000000001</v>
      </c>
      <c r="Y15" s="37" t="s">
        <v>47</v>
      </c>
      <c r="Z15" s="62"/>
      <c r="AA15" s="63"/>
    </row>
    <row r="16" spans="1:27" x14ac:dyDescent="0.3">
      <c r="A16" s="51" t="s">
        <v>60</v>
      </c>
      <c r="B16" s="36" t="s">
        <v>60</v>
      </c>
      <c r="C16" s="38" t="s">
        <v>61</v>
      </c>
      <c r="D16" s="52">
        <f>'[1]GSLD(T)-3'!$Q$69</f>
        <v>0.85297493338993025</v>
      </c>
      <c r="E16" s="53">
        <f>SUM('[1]Sales Forecast'!$AA$12:$AL$12)</f>
        <v>175782528</v>
      </c>
      <c r="F16" s="54">
        <f>ROUND(E16/(8760*D16),0)</f>
        <v>23525</v>
      </c>
      <c r="G16" s="55">
        <f>[5]LLS_12CP_Demand_Losses_by_Rate!$C$41</f>
        <v>1.0219163653884258</v>
      </c>
      <c r="H16" s="55">
        <f>[5]LLS_Energy_Losses_by_Rate_Clas!$C$41</f>
        <v>1.0170123194074383</v>
      </c>
      <c r="I16" s="56">
        <f t="shared" si="2"/>
        <v>178772996.51258296</v>
      </c>
      <c r="J16" s="56">
        <f t="shared" si="3"/>
        <v>24040.582495762716</v>
      </c>
      <c r="K16" s="57">
        <f t="shared" si="4"/>
        <v>1.5821284540430858E-3</v>
      </c>
      <c r="L16" s="41">
        <f t="shared" si="5"/>
        <v>1.1911287297187412E-3</v>
      </c>
      <c r="M16" s="36"/>
      <c r="N16" s="38" t="s">
        <v>61</v>
      </c>
      <c r="O16" s="58" t="s">
        <v>81</v>
      </c>
      <c r="P16" s="41">
        <f t="shared" si="0"/>
        <v>1.5821284540430858E-3</v>
      </c>
      <c r="Q16" s="41">
        <f t="shared" si="1"/>
        <v>1.1911287297187412E-3</v>
      </c>
      <c r="R16" s="59">
        <f t="shared" si="6"/>
        <v>122518</v>
      </c>
      <c r="S16" s="59">
        <f t="shared" si="7"/>
        <v>276718</v>
      </c>
      <c r="T16" s="59">
        <f t="shared" si="8"/>
        <v>399236</v>
      </c>
      <c r="U16" s="56">
        <f t="shared" si="9"/>
        <v>175782528</v>
      </c>
      <c r="V16" s="41">
        <f>+VLOOKUP($O16,'2018 Clause Allocations'!A18:H31,8,FALSE)</f>
        <v>0.66110876141603681</v>
      </c>
      <c r="W16" s="61">
        <f t="shared" si="11"/>
        <v>364234</v>
      </c>
      <c r="X16" s="48">
        <f t="shared" si="12"/>
        <v>1.1000000000000001</v>
      </c>
      <c r="Y16" s="37" t="s">
        <v>47</v>
      </c>
      <c r="Z16" s="62"/>
      <c r="AA16" s="63"/>
    </row>
    <row r="17" spans="1:27" x14ac:dyDescent="0.3">
      <c r="A17" s="51" t="s">
        <v>63</v>
      </c>
      <c r="B17" s="36" t="s">
        <v>83</v>
      </c>
      <c r="C17" s="38" t="s">
        <v>77</v>
      </c>
      <c r="D17" s="52">
        <f>'[1]SST-1D'!$Q$68</f>
        <v>0.7756741267446351</v>
      </c>
      <c r="E17" s="53">
        <f>SUM('[1]Sales Forecast'!$AA$19:$AL$19)</f>
        <v>11856926</v>
      </c>
      <c r="F17" s="54">
        <f t="shared" si="10"/>
        <v>1745</v>
      </c>
      <c r="G17" s="55">
        <f>[5]LLS_12CP_Demand_Losses_by_Rate!$C$72</f>
        <v>1.0348593807299622</v>
      </c>
      <c r="H17" s="55">
        <f>[5]LLS_Energy_Losses_by_Rate_Clas!$C$71</f>
        <v>1.0266324251987167</v>
      </c>
      <c r="I17" s="56">
        <f t="shared" si="2"/>
        <v>12172704.694781719</v>
      </c>
      <c r="J17" s="56">
        <f t="shared" si="3"/>
        <v>1805.829619373784</v>
      </c>
      <c r="K17" s="57">
        <f t="shared" si="4"/>
        <v>1.0772758098800724E-4</v>
      </c>
      <c r="L17" s="41">
        <f t="shared" si="5"/>
        <v>8.9472688151058502E-5</v>
      </c>
      <c r="M17" s="36"/>
      <c r="N17" s="38" t="s">
        <v>77</v>
      </c>
      <c r="O17" s="58" t="s">
        <v>83</v>
      </c>
      <c r="P17" s="41">
        <f t="shared" si="0"/>
        <v>1.0772758098800724E-4</v>
      </c>
      <c r="Q17" s="41">
        <f t="shared" si="1"/>
        <v>8.9472688151058502E-5</v>
      </c>
      <c r="R17" s="59">
        <f t="shared" si="6"/>
        <v>8342</v>
      </c>
      <c r="S17" s="59">
        <f t="shared" si="7"/>
        <v>20786</v>
      </c>
      <c r="T17" s="59">
        <f t="shared" si="8"/>
        <v>29128</v>
      </c>
      <c r="U17" s="56">
        <f t="shared" si="9"/>
        <v>11856926</v>
      </c>
      <c r="V17" s="41">
        <f>+VLOOKUP($O17,'2018 Clause Allocations'!A19:H32,8,FALSE)</f>
        <v>0.29683762187751556</v>
      </c>
      <c r="W17" s="61">
        <f t="shared" si="11"/>
        <v>54718</v>
      </c>
      <c r="X17" s="37" t="s">
        <v>47</v>
      </c>
      <c r="Y17" s="37" t="s">
        <v>47</v>
      </c>
      <c r="Z17" s="48">
        <f>ROUND(($T$25/$J$25*0.1*$G17)/12,2)</f>
        <v>0.13</v>
      </c>
      <c r="AA17" s="48">
        <f>ROUND(($T$25/$J$25/21*$G17)/12,2)</f>
        <v>0.06</v>
      </c>
    </row>
    <row r="18" spans="1:27" x14ac:dyDescent="0.3">
      <c r="A18" s="51" t="s">
        <v>62</v>
      </c>
      <c r="B18" s="36" t="s">
        <v>82</v>
      </c>
      <c r="C18" s="38" t="s">
        <v>76</v>
      </c>
      <c r="D18" s="52">
        <f>'[1]SST-1T'!$Q$68</f>
        <v>1.0642537654835582</v>
      </c>
      <c r="E18" s="53">
        <f>SUM('[1]Sales Forecast'!$AA$20:$AL$20)</f>
        <v>89667754</v>
      </c>
      <c r="F18" s="54">
        <f t="shared" si="10"/>
        <v>9618</v>
      </c>
      <c r="G18" s="55">
        <f>[5]LLS_12CP_Demand_Losses_by_Rate!$C$76</f>
        <v>1.0219163663347777</v>
      </c>
      <c r="H18" s="55">
        <f>[5]LLS_Energy_Losses_by_Rate_Clas!$C$75</f>
        <v>1.0170123194074383</v>
      </c>
      <c r="I18" s="56">
        <f t="shared" si="2"/>
        <v>91193210.4715956</v>
      </c>
      <c r="J18" s="56">
        <f t="shared" si="3"/>
        <v>9828.7916114078907</v>
      </c>
      <c r="K18" s="57">
        <f t="shared" si="4"/>
        <v>8.0705350314188077E-4</v>
      </c>
      <c r="L18" s="41">
        <f t="shared" si="5"/>
        <v>4.8698304497530313E-4</v>
      </c>
      <c r="M18" s="36"/>
      <c r="N18" s="38" t="s">
        <v>76</v>
      </c>
      <c r="O18" s="58" t="s">
        <v>82</v>
      </c>
      <c r="P18" s="41">
        <f t="shared" si="0"/>
        <v>8.0705350314188077E-4</v>
      </c>
      <c r="Q18" s="41">
        <f t="shared" si="1"/>
        <v>4.8698304497530313E-4</v>
      </c>
      <c r="R18" s="59">
        <f t="shared" si="6"/>
        <v>62497</v>
      </c>
      <c r="S18" s="59">
        <f t="shared" si="7"/>
        <v>113134</v>
      </c>
      <c r="T18" s="59">
        <f t="shared" si="8"/>
        <v>175631</v>
      </c>
      <c r="U18" s="56">
        <f t="shared" si="9"/>
        <v>89667754</v>
      </c>
      <c r="V18" s="41">
        <f>+VLOOKUP($O18,'2018 Clause Allocations'!A20:H33,8,FALSE)</f>
        <v>0.11319690656706886</v>
      </c>
      <c r="W18" s="61">
        <f t="shared" si="11"/>
        <v>1085123</v>
      </c>
      <c r="X18" s="37" t="s">
        <v>47</v>
      </c>
      <c r="Y18" s="37" t="s">
        <v>47</v>
      </c>
      <c r="Z18" s="48">
        <f>ROUND(($T$25/$J$25*0.1*$G18)/12,2)</f>
        <v>0.13</v>
      </c>
      <c r="AA18" s="48">
        <f>ROUND(($T$25/$J$25/21*$G18)/12,2)</f>
        <v>0.06</v>
      </c>
    </row>
    <row r="19" spans="1:27" x14ac:dyDescent="0.3">
      <c r="A19" s="51" t="s">
        <v>64</v>
      </c>
      <c r="B19" s="36" t="s">
        <v>116</v>
      </c>
      <c r="C19" s="38" t="s">
        <v>65</v>
      </c>
      <c r="D19" s="52">
        <f>'[1]CILC-1D &amp; CILC-1G'!$Q$69</f>
        <v>0.86503287752103508</v>
      </c>
      <c r="E19" s="53">
        <f>SUM('[1]Sales Forecast'!$AA$4:$AL$5)</f>
        <v>2788466160</v>
      </c>
      <c r="F19" s="54">
        <f t="shared" si="10"/>
        <v>367984</v>
      </c>
      <c r="G19" s="55">
        <f>[5]LLS_Demand_Losses_by_Rate_Grou!$E$5</f>
        <v>1.0533993357888443</v>
      </c>
      <c r="H19" s="55">
        <f>[5]LLS_Energy_Losses_by_Rate_Grou!$E$5</f>
        <v>1.0405293502860777</v>
      </c>
      <c r="I19" s="56">
        <f t="shared" si="2"/>
        <v>2901480881.7595139</v>
      </c>
      <c r="J19" s="56">
        <f t="shared" si="3"/>
        <v>387634.10118092207</v>
      </c>
      <c r="K19" s="57">
        <f t="shared" si="4"/>
        <v>2.567790187244887E-2</v>
      </c>
      <c r="L19" s="41">
        <f t="shared" si="5"/>
        <v>1.9205945389080267E-2</v>
      </c>
      <c r="M19" s="36"/>
      <c r="N19" s="38" t="s">
        <v>65</v>
      </c>
      <c r="O19" s="58" t="s">
        <v>84</v>
      </c>
      <c r="P19" s="41">
        <f t="shared" si="0"/>
        <v>2.567790187244887E-2</v>
      </c>
      <c r="Q19" s="41">
        <f t="shared" si="1"/>
        <v>1.9205945389080267E-2</v>
      </c>
      <c r="R19" s="59">
        <f t="shared" si="6"/>
        <v>1988457</v>
      </c>
      <c r="S19" s="59">
        <f t="shared" si="7"/>
        <v>4461837</v>
      </c>
      <c r="T19" s="59">
        <f t="shared" si="8"/>
        <v>6450294</v>
      </c>
      <c r="U19" s="56">
        <f t="shared" si="9"/>
        <v>2788466160</v>
      </c>
      <c r="V19" s="41">
        <f>+VLOOKUP($O19,'2018 Clause Allocations'!A21:H34,8,FALSE)</f>
        <v>0.74142942939728584</v>
      </c>
      <c r="W19" s="61">
        <f t="shared" si="11"/>
        <v>5151963</v>
      </c>
      <c r="X19" s="48">
        <f t="shared" ref="X19:X21" si="13">ROUND(T19/W19,2)</f>
        <v>1.25</v>
      </c>
      <c r="Y19" s="37" t="s">
        <v>47</v>
      </c>
      <c r="Z19" s="62"/>
      <c r="AA19" s="63"/>
    </row>
    <row r="20" spans="1:27" x14ac:dyDescent="0.3">
      <c r="A20" s="51" t="s">
        <v>66</v>
      </c>
      <c r="B20" s="36" t="s">
        <v>66</v>
      </c>
      <c r="C20" s="38" t="s">
        <v>67</v>
      </c>
      <c r="D20" s="52">
        <f>'[1]CILC-1T'!$Q$69</f>
        <v>0.90405436942759743</v>
      </c>
      <c r="E20" s="53">
        <f>SUM('[1]Sales Forecast'!$AA$6:$AL$6)</f>
        <v>1532421391</v>
      </c>
      <c r="F20" s="54">
        <f t="shared" si="10"/>
        <v>193499</v>
      </c>
      <c r="G20" s="55">
        <f>[5]LLS_12CP_Demand_Losses_by_Rate!$C$14</f>
        <v>1.0219163648227962</v>
      </c>
      <c r="H20" s="55">
        <f>[5]LLS_Energy_Losses_by_Rate_Clas!$C$14</f>
        <v>1.0170123194074383</v>
      </c>
      <c r="I20" s="56">
        <f t="shared" si="2"/>
        <v>1558491433.1704829</v>
      </c>
      <c r="J20" s="56">
        <f t="shared" si="3"/>
        <v>197739.79467684624</v>
      </c>
      <c r="K20" s="57">
        <f t="shared" si="4"/>
        <v>1.3792539644698848E-2</v>
      </c>
      <c r="L20" s="41">
        <f t="shared" si="5"/>
        <v>9.7973312622433601E-3</v>
      </c>
      <c r="M20" s="36"/>
      <c r="N20" s="38" t="s">
        <v>67</v>
      </c>
      <c r="O20" s="58" t="s">
        <v>66</v>
      </c>
      <c r="P20" s="41">
        <f t="shared" si="0"/>
        <v>1.3792539644698848E-2</v>
      </c>
      <c r="Q20" s="41">
        <f t="shared" si="1"/>
        <v>9.7973312622433601E-3</v>
      </c>
      <c r="R20" s="59">
        <f t="shared" si="6"/>
        <v>1068073</v>
      </c>
      <c r="S20" s="59">
        <f t="shared" si="7"/>
        <v>2276071</v>
      </c>
      <c r="T20" s="59">
        <f t="shared" si="8"/>
        <v>3344144</v>
      </c>
      <c r="U20" s="56">
        <f t="shared" si="9"/>
        <v>1532421391</v>
      </c>
      <c r="V20" s="41">
        <f>+VLOOKUP($O20,'2018 Clause Allocations'!A21:H35,8,FALSE)</f>
        <v>0.76336433316576868</v>
      </c>
      <c r="W20" s="61">
        <f t="shared" si="11"/>
        <v>2749942</v>
      </c>
      <c r="X20" s="48">
        <f t="shared" si="13"/>
        <v>1.22</v>
      </c>
      <c r="Y20" s="37" t="s">
        <v>47</v>
      </c>
      <c r="Z20" s="62"/>
      <c r="AA20" s="63"/>
    </row>
    <row r="21" spans="1:27" x14ac:dyDescent="0.3">
      <c r="A21" s="51" t="s">
        <v>68</v>
      </c>
      <c r="B21" s="36" t="s">
        <v>68</v>
      </c>
      <c r="C21" s="38" t="s">
        <v>68</v>
      </c>
      <c r="D21" s="52">
        <f>[1]MET!$Q$68</f>
        <v>0.71006928440649986</v>
      </c>
      <c r="E21" s="53">
        <f>SUM('[1]Sales Forecast'!$AA$13:$AL$13)</f>
        <v>91241144</v>
      </c>
      <c r="F21" s="54">
        <f t="shared" si="10"/>
        <v>14669</v>
      </c>
      <c r="G21" s="55">
        <f>[5]LLS_12CP_Demand_Losses_by_Rate!$C$45</f>
        <v>1.0348593797787911</v>
      </c>
      <c r="H21" s="55">
        <f>[5]LLS_Energy_Losses_by_Rate_Clas!$C$45</f>
        <v>1.0266324251987167</v>
      </c>
      <c r="I21" s="56">
        <f t="shared" si="2"/>
        <v>93671116.942625329</v>
      </c>
      <c r="J21" s="56">
        <f t="shared" si="3"/>
        <v>15180.352241975086</v>
      </c>
      <c r="K21" s="57">
        <f t="shared" si="4"/>
        <v>8.2898280125037716E-4</v>
      </c>
      <c r="L21" s="41">
        <f t="shared" si="5"/>
        <v>7.5213459099228723E-4</v>
      </c>
      <c r="M21" s="36"/>
      <c r="N21" s="38" t="s">
        <v>68</v>
      </c>
      <c r="O21" s="58" t="s">
        <v>68</v>
      </c>
      <c r="P21" s="41">
        <f t="shared" si="0"/>
        <v>8.2898280125037716E-4</v>
      </c>
      <c r="Q21" s="41">
        <f t="shared" si="1"/>
        <v>7.5213459099228723E-4</v>
      </c>
      <c r="R21" s="59">
        <f t="shared" si="6"/>
        <v>64195</v>
      </c>
      <c r="S21" s="59">
        <f t="shared" si="7"/>
        <v>174732</v>
      </c>
      <c r="T21" s="59">
        <f t="shared" si="8"/>
        <v>238927</v>
      </c>
      <c r="U21" s="56">
        <f t="shared" si="9"/>
        <v>91241144</v>
      </c>
      <c r="V21" s="41">
        <f>+VLOOKUP($O21,'2018 Clause Allocations'!A23:H36,8,FALSE)</f>
        <v>0.64572858053338122</v>
      </c>
      <c r="W21" s="61">
        <f t="shared" si="11"/>
        <v>193561</v>
      </c>
      <c r="X21" s="48">
        <f t="shared" si="13"/>
        <v>1.23</v>
      </c>
      <c r="Y21" s="37" t="s">
        <v>47</v>
      </c>
      <c r="Z21" s="62"/>
      <c r="AA21" s="63"/>
    </row>
    <row r="22" spans="1:27" x14ac:dyDescent="0.3">
      <c r="A22" s="51" t="s">
        <v>0</v>
      </c>
      <c r="B22" s="36" t="s">
        <v>117</v>
      </c>
      <c r="C22" s="38" t="s">
        <v>69</v>
      </c>
      <c r="D22" s="52">
        <f>'[1]OL-1 &amp; SL-1'!$Q$68</f>
        <v>5.8150031949913128</v>
      </c>
      <c r="E22" s="53">
        <f>SUM('[1]Sales Forecast'!$AA$14:$AL$14)+SUM('[1]Sales Forecast'!$AA$17:$AL$17)</f>
        <v>668275032</v>
      </c>
      <c r="F22" s="54">
        <f t="shared" si="10"/>
        <v>13119</v>
      </c>
      <c r="G22" s="55">
        <f>[5]LLS_12CP_Demand_Losses_by_Rate!$C$49</f>
        <v>1.0646691330406721</v>
      </c>
      <c r="H22" s="55">
        <f>[5]LLS_Energy_Losses_by_Rate_Clas!$C$49</f>
        <v>1.0486554726996764</v>
      </c>
      <c r="I22" s="56">
        <f t="shared" si="2"/>
        <v>700790269.57535136</v>
      </c>
      <c r="J22" s="56">
        <f t="shared" si="3"/>
        <v>13967.394356360577</v>
      </c>
      <c r="K22" s="57">
        <f t="shared" si="4"/>
        <v>6.2019446305675661E-3</v>
      </c>
      <c r="L22" s="41">
        <f t="shared" si="5"/>
        <v>6.9203667174474017E-4</v>
      </c>
      <c r="M22" s="36"/>
      <c r="N22" s="38" t="s">
        <v>69</v>
      </c>
      <c r="O22" s="58" t="s">
        <v>85</v>
      </c>
      <c r="P22" s="41">
        <f t="shared" si="0"/>
        <v>6.2019446305675661E-3</v>
      </c>
      <c r="Q22" s="41">
        <f t="shared" si="1"/>
        <v>6.9203667174474017E-4</v>
      </c>
      <c r="R22" s="59">
        <f t="shared" si="6"/>
        <v>480269</v>
      </c>
      <c r="S22" s="59">
        <f t="shared" si="7"/>
        <v>160771</v>
      </c>
      <c r="T22" s="59">
        <f t="shared" si="8"/>
        <v>641040</v>
      </c>
      <c r="U22" s="56">
        <f t="shared" si="9"/>
        <v>668275032</v>
      </c>
      <c r="V22" s="42"/>
      <c r="W22" s="37" t="s">
        <v>47</v>
      </c>
      <c r="X22" s="44" t="s">
        <v>47</v>
      </c>
      <c r="Y22" s="50">
        <f t="shared" ref="Y22" si="14">ROUND(T22/U22,5)</f>
        <v>9.6000000000000002E-4</v>
      </c>
      <c r="Z22" s="62"/>
    </row>
    <row r="23" spans="1:27" x14ac:dyDescent="0.3">
      <c r="A23" s="51" t="s">
        <v>75</v>
      </c>
      <c r="B23" s="36" t="s">
        <v>118</v>
      </c>
      <c r="C23" s="38" t="s">
        <v>70</v>
      </c>
      <c r="D23" s="52">
        <f>'[1]GSCU-1 &amp; SL-2'!$Q$69</f>
        <v>0.94284877388354726</v>
      </c>
      <c r="E23" s="53">
        <f>SUM('[1]Sales Forecast'!$AA$18:$AL$18)+SUM('[1]Sales Forecast'!$AA$8:$AL$8)</f>
        <v>104537486</v>
      </c>
      <c r="F23" s="54">
        <f t="shared" si="10"/>
        <v>12657</v>
      </c>
      <c r="G23" s="55">
        <f>[5]LLS_12CP_Demand_Losses_by_Rate!$C$68</f>
        <v>1.0646691338092202</v>
      </c>
      <c r="H23" s="55">
        <f>[5]LLS_Energy_Losses_by_Rate_Clas!$C$67</f>
        <v>1.0486554726996764</v>
      </c>
      <c r="I23" s="56">
        <f t="shared" si="2"/>
        <v>109623806.79616581</v>
      </c>
      <c r="J23" s="56">
        <f t="shared" si="3"/>
        <v>13475.5172266233</v>
      </c>
      <c r="K23" s="57">
        <f t="shared" si="4"/>
        <v>9.7016298521644022E-4</v>
      </c>
      <c r="L23" s="41">
        <f t="shared" si="5"/>
        <v>6.6766584042961166E-4</v>
      </c>
      <c r="M23" s="36"/>
      <c r="N23" s="38" t="s">
        <v>71</v>
      </c>
      <c r="O23" s="58" t="s">
        <v>86</v>
      </c>
      <c r="P23" s="41">
        <f t="shared" si="0"/>
        <v>9.7016298521644022E-4</v>
      </c>
      <c r="Q23" s="41">
        <f t="shared" si="1"/>
        <v>6.6766584042961166E-4</v>
      </c>
      <c r="R23" s="59">
        <f t="shared" si="6"/>
        <v>75128</v>
      </c>
      <c r="S23" s="59">
        <f t="shared" si="7"/>
        <v>155109</v>
      </c>
      <c r="T23" s="59">
        <f t="shared" si="8"/>
        <v>230237</v>
      </c>
      <c r="U23" s="56">
        <f t="shared" si="9"/>
        <v>104537486</v>
      </c>
      <c r="V23" s="42"/>
      <c r="W23" s="37" t="s">
        <v>47</v>
      </c>
      <c r="X23" s="44" t="s">
        <v>47</v>
      </c>
      <c r="Y23" s="50">
        <f>ROUND(T23/U23,5)</f>
        <v>2.2000000000000001E-3</v>
      </c>
      <c r="Z23" s="62"/>
    </row>
    <row r="24" spans="1:27" x14ac:dyDescent="0.3">
      <c r="B24" s="36"/>
      <c r="C24" s="36"/>
      <c r="D24" s="45"/>
      <c r="E24" s="4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47"/>
      <c r="T24" s="36"/>
      <c r="U24" s="36"/>
      <c r="V24" s="36"/>
      <c r="W24" s="36"/>
      <c r="X24" s="48"/>
      <c r="Y24" s="40"/>
    </row>
    <row r="25" spans="1:27" x14ac:dyDescent="0.3">
      <c r="B25" s="36"/>
      <c r="C25" s="38" t="s">
        <v>72</v>
      </c>
      <c r="D25" s="36"/>
      <c r="E25" s="56">
        <f>SUM(E10:E23)</f>
        <v>107858876175</v>
      </c>
      <c r="F25" s="56">
        <f>SUM(F10:F23)</f>
        <v>18975721</v>
      </c>
      <c r="G25" s="36"/>
      <c r="H25" s="36"/>
      <c r="I25" s="56">
        <f>SUM(I10:I23)</f>
        <v>112995247671.40965</v>
      </c>
      <c r="J25" s="56">
        <f>SUM(J10:J23)</f>
        <v>20183026.314409669</v>
      </c>
      <c r="K25" s="64">
        <f>SUM(K10:K23)</f>
        <v>1</v>
      </c>
      <c r="L25" s="64">
        <f>SUM(L10:L23)</f>
        <v>1.0000000000000002</v>
      </c>
      <c r="M25" s="36"/>
      <c r="N25" s="38" t="s">
        <v>72</v>
      </c>
      <c r="O25" s="38"/>
      <c r="P25" s="36"/>
      <c r="Q25" s="36"/>
      <c r="R25" s="59">
        <f>SUM(R10:R23)</f>
        <v>77438462</v>
      </c>
      <c r="S25" s="59">
        <f>SUM(S10:S23)</f>
        <v>232315388</v>
      </c>
      <c r="T25" s="69">
        <f>[3]Summary!$B$14</f>
        <v>309753849.86643755</v>
      </c>
      <c r="U25" s="56">
        <f>SUM(U10:U23)</f>
        <v>107858876175</v>
      </c>
      <c r="V25" s="36"/>
      <c r="W25" s="56">
        <f>SUM(W10:W23)</f>
        <v>111215494</v>
      </c>
      <c r="X25" s="48"/>
      <c r="Y25" s="50"/>
    </row>
    <row r="27" spans="1:27" hidden="1" x14ac:dyDescent="0.3">
      <c r="C27" s="51" t="s">
        <v>64</v>
      </c>
    </row>
    <row r="28" spans="1:27" hidden="1" x14ac:dyDescent="0.3">
      <c r="C28" s="51" t="s">
        <v>73</v>
      </c>
    </row>
    <row r="29" spans="1:27" hidden="1" x14ac:dyDescent="0.3">
      <c r="C29" s="51" t="s">
        <v>66</v>
      </c>
    </row>
    <row r="30" spans="1:27" hidden="1" x14ac:dyDescent="0.3">
      <c r="C30" s="51" t="s">
        <v>74</v>
      </c>
    </row>
    <row r="31" spans="1:27" hidden="1" x14ac:dyDescent="0.3">
      <c r="C31" s="51" t="s">
        <v>51</v>
      </c>
    </row>
    <row r="32" spans="1:27" hidden="1" x14ac:dyDescent="0.3">
      <c r="C32" s="51" t="s">
        <v>55</v>
      </c>
    </row>
    <row r="33" spans="3:20" hidden="1" x14ac:dyDescent="0.3">
      <c r="C33" s="51" t="s">
        <v>57</v>
      </c>
    </row>
    <row r="34" spans="3:20" hidden="1" x14ac:dyDescent="0.3">
      <c r="C34" s="51" t="s">
        <v>60</v>
      </c>
    </row>
    <row r="35" spans="3:20" hidden="1" x14ac:dyDescent="0.3">
      <c r="C35" s="51" t="s">
        <v>48</v>
      </c>
    </row>
    <row r="36" spans="3:20" hidden="1" x14ac:dyDescent="0.3">
      <c r="C36" s="51" t="s">
        <v>68</v>
      </c>
    </row>
    <row r="37" spans="3:20" hidden="1" x14ac:dyDescent="0.3">
      <c r="C37" s="51" t="s">
        <v>1</v>
      </c>
    </row>
    <row r="38" spans="3:20" hidden="1" x14ac:dyDescent="0.3">
      <c r="C38" s="51" t="s">
        <v>53</v>
      </c>
    </row>
    <row r="39" spans="3:20" hidden="1" x14ac:dyDescent="0.3">
      <c r="C39" s="51" t="s">
        <v>45</v>
      </c>
    </row>
    <row r="40" spans="3:20" hidden="1" x14ac:dyDescent="0.3">
      <c r="C40" s="51" t="s">
        <v>0</v>
      </c>
    </row>
    <row r="41" spans="3:20" hidden="1" x14ac:dyDescent="0.3">
      <c r="C41" s="51" t="s">
        <v>75</v>
      </c>
    </row>
    <row r="42" spans="3:20" x14ac:dyDescent="0.3">
      <c r="F42" s="65"/>
      <c r="T42" s="59"/>
    </row>
    <row r="44" spans="3:20" x14ac:dyDescent="0.3">
      <c r="T44" s="67"/>
    </row>
  </sheetData>
  <pageMargins left="0.7" right="0.7" top="0.75" bottom="0.75" header="0.3" footer="0.3"/>
  <pageSetup scale="90" orientation="landscape" r:id="rId1"/>
  <colBreaks count="2" manualBreakCount="2">
    <brk id="12" max="1048575" man="1"/>
    <brk id="21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0"/>
  <sheetViews>
    <sheetView showGridLines="0" zoomScale="110" zoomScaleNormal="110" workbookViewId="0">
      <selection activeCell="A2" sqref="A1:A2"/>
    </sheetView>
  </sheetViews>
  <sheetFormatPr defaultColWidth="9.109375" defaultRowHeight="13.2" x14ac:dyDescent="0.25"/>
  <cols>
    <col min="1" max="1" width="40.6640625" style="3" customWidth="1"/>
    <col min="2" max="2" width="16.6640625" style="5" bestFit="1" customWidth="1"/>
    <col min="3" max="3" width="17.33203125" style="6" bestFit="1" customWidth="1"/>
    <col min="4" max="4" width="14.109375" style="6" customWidth="1"/>
    <col min="5" max="5" width="18.88671875" style="6" customWidth="1"/>
    <col min="6" max="6" width="19.33203125" style="7" customWidth="1"/>
    <col min="7" max="7" width="20.88671875" style="7" customWidth="1"/>
    <col min="8" max="8" width="14" style="5" customWidth="1"/>
    <col min="9" max="16384" width="9.109375" style="3"/>
  </cols>
  <sheetData>
    <row r="1" spans="1:8" ht="13.8" x14ac:dyDescent="0.3">
      <c r="A1" s="73" t="s">
        <v>123</v>
      </c>
    </row>
    <row r="2" spans="1:8" ht="13.8" x14ac:dyDescent="0.3">
      <c r="A2" s="73" t="s">
        <v>120</v>
      </c>
    </row>
    <row r="4" spans="1:8" ht="21" x14ac:dyDescent="0.4">
      <c r="A4" s="70" t="s">
        <v>87</v>
      </c>
      <c r="B4" s="70"/>
      <c r="C4" s="70"/>
      <c r="D4" s="70"/>
      <c r="E4" s="70"/>
      <c r="F4" s="70"/>
      <c r="G4" s="70"/>
      <c r="H4" s="70"/>
    </row>
    <row r="5" spans="1:8" ht="21" x14ac:dyDescent="0.4">
      <c r="A5" s="70" t="s">
        <v>113</v>
      </c>
      <c r="B5" s="70"/>
      <c r="C5" s="70"/>
      <c r="D5" s="70"/>
      <c r="E5" s="70"/>
      <c r="F5" s="70"/>
      <c r="G5" s="70"/>
      <c r="H5" s="70"/>
    </row>
    <row r="6" spans="1:8" ht="13.8" x14ac:dyDescent="0.25">
      <c r="A6" s="71" t="s">
        <v>88</v>
      </c>
      <c r="B6" s="71"/>
      <c r="C6" s="71"/>
      <c r="D6" s="71"/>
      <c r="E6" s="71"/>
      <c r="F6" s="71"/>
      <c r="G6" s="71"/>
      <c r="H6" s="71"/>
    </row>
    <row r="7" spans="1:8" ht="21" x14ac:dyDescent="0.4">
      <c r="A7" s="4"/>
    </row>
    <row r="9" spans="1:8" x14ac:dyDescent="0.25">
      <c r="A9" s="8" t="s">
        <v>89</v>
      </c>
      <c r="B9" s="9" t="s">
        <v>24</v>
      </c>
      <c r="C9" s="10" t="s">
        <v>90</v>
      </c>
      <c r="D9" s="11" t="s">
        <v>24</v>
      </c>
      <c r="E9" s="11"/>
      <c r="F9" s="72" t="s">
        <v>91</v>
      </c>
      <c r="G9" s="72"/>
      <c r="H9" s="72"/>
    </row>
    <row r="10" spans="1:8" s="1" customFormat="1" ht="30" customHeight="1" x14ac:dyDescent="0.25">
      <c r="A10" s="8" t="s">
        <v>92</v>
      </c>
      <c r="B10" s="9" t="s">
        <v>91</v>
      </c>
      <c r="C10" s="10" t="s">
        <v>93</v>
      </c>
      <c r="D10" s="10" t="s">
        <v>94</v>
      </c>
      <c r="E10" s="12" t="s">
        <v>95</v>
      </c>
      <c r="F10" s="10" t="s">
        <v>96</v>
      </c>
      <c r="G10" s="13" t="s">
        <v>97</v>
      </c>
      <c r="H10" s="9" t="s">
        <v>98</v>
      </c>
    </row>
    <row r="11" spans="1:8" s="1" customFormat="1" x14ac:dyDescent="0.25">
      <c r="A11" s="8"/>
      <c r="B11" s="9" t="s">
        <v>99</v>
      </c>
      <c r="C11" s="10" t="s">
        <v>100</v>
      </c>
      <c r="D11" s="14"/>
      <c r="E11" s="12" t="s">
        <v>101</v>
      </c>
      <c r="F11" s="12" t="s">
        <v>101</v>
      </c>
      <c r="G11" s="12" t="s">
        <v>101</v>
      </c>
      <c r="H11" s="9"/>
    </row>
    <row r="12" spans="1:8" s="1" customFormat="1" ht="13.8" thickBot="1" x14ac:dyDescent="0.3">
      <c r="A12" s="15"/>
      <c r="B12" s="16"/>
      <c r="C12" s="17"/>
      <c r="D12" s="18"/>
      <c r="E12" s="18"/>
      <c r="F12" s="18"/>
      <c r="G12" s="18"/>
      <c r="H12" s="16"/>
    </row>
    <row r="14" spans="1:8" ht="14.1" customHeight="1" x14ac:dyDescent="0.25">
      <c r="A14" s="1" t="s">
        <v>45</v>
      </c>
      <c r="B14" s="19">
        <f>+C14/8760/D14</f>
        <v>0.58600544280493383</v>
      </c>
      <c r="C14" s="7">
        <f>'2018 Capacity Calc'!E10</f>
        <v>57361215879</v>
      </c>
      <c r="D14" s="7">
        <f>'2018 Capacity Calc'!F10</f>
        <v>11174101</v>
      </c>
      <c r="E14" s="7"/>
      <c r="F14" s="7">
        <f>'[1]RS(T)-1'!$P$70</f>
        <v>27641626.416106772</v>
      </c>
      <c r="H14" s="20">
        <f>+C14/8760/F14</f>
        <v>0.23689213890237973</v>
      </c>
    </row>
    <row r="15" spans="1:8" ht="14.1" customHeight="1" x14ac:dyDescent="0.25">
      <c r="A15" s="1" t="s">
        <v>48</v>
      </c>
      <c r="B15" s="19">
        <f t="shared" ref="B15:B27" si="0">+C15/8760/D15</f>
        <v>0.64426568626755121</v>
      </c>
      <c r="C15" s="7">
        <f>'2018 Capacity Calc'!E11</f>
        <v>6001791085</v>
      </c>
      <c r="D15" s="7">
        <f>'2018 Capacity Calc'!F11</f>
        <v>1063437</v>
      </c>
      <c r="E15" s="7"/>
      <c r="F15" s="7">
        <f>'[1]GS(T)-1'!$P$71</f>
        <v>2020606.794482196</v>
      </c>
      <c r="H15" s="20">
        <f>+C15/8760/F15</f>
        <v>0.3390743664122341</v>
      </c>
    </row>
    <row r="16" spans="1:8" s="28" customFormat="1" ht="14.1" customHeight="1" x14ac:dyDescent="0.25">
      <c r="A16" s="23" t="s">
        <v>78</v>
      </c>
      <c r="B16" s="24">
        <f t="shared" si="0"/>
        <v>0.72095722938293505</v>
      </c>
      <c r="C16" s="25">
        <f>'2018 Capacity Calc'!E12</f>
        <v>25949742256</v>
      </c>
      <c r="D16" s="25">
        <f>'2018 Capacity Calc'!F12</f>
        <v>4108842</v>
      </c>
      <c r="E16" s="25"/>
      <c r="F16" s="25">
        <f>'[1]GSD(T)-1'!$P$71</f>
        <v>5906278.3988084989</v>
      </c>
      <c r="G16" s="25"/>
      <c r="H16" s="27">
        <f>+C16/8760/F16</f>
        <v>0.50155091654498307</v>
      </c>
    </row>
    <row r="17" spans="1:8" ht="14.1" customHeight="1" x14ac:dyDescent="0.25">
      <c r="A17" s="1" t="s">
        <v>53</v>
      </c>
      <c r="B17" s="19">
        <f t="shared" si="0"/>
        <v>0.9142108500721603</v>
      </c>
      <c r="C17" s="7">
        <f>'2018 Capacity Calc'!E13</f>
        <v>10819466</v>
      </c>
      <c r="D17" s="7">
        <f>'2018 Capacity Calc'!F13</f>
        <v>1351</v>
      </c>
      <c r="E17" s="7"/>
      <c r="F17" s="7">
        <f>'[1]OS-2'!$P$70</f>
        <v>12972.530115288007</v>
      </c>
      <c r="H17" s="20">
        <f>+C17/8760/F17</f>
        <v>9.5208787142604959E-2</v>
      </c>
    </row>
    <row r="18" spans="1:8" s="28" customFormat="1" ht="14.1" customHeight="1" x14ac:dyDescent="0.25">
      <c r="A18" s="23" t="s">
        <v>79</v>
      </c>
      <c r="B18" s="24">
        <f t="shared" si="0"/>
        <v>0.72584873685137252</v>
      </c>
      <c r="C18" s="25">
        <f>'2018 Capacity Calc'!E14</f>
        <v>10561627481</v>
      </c>
      <c r="D18" s="25">
        <f>'2018 Capacity Calc'!F14</f>
        <v>1661042</v>
      </c>
      <c r="E18" s="25"/>
      <c r="F18" s="25">
        <f>'[1]GSLD(T)-1'!$P$70</f>
        <v>2125933.9817548324</v>
      </c>
      <c r="G18" s="25"/>
      <c r="H18" s="27">
        <f>+C18/8760/F18</f>
        <v>0.56712261429768029</v>
      </c>
    </row>
    <row r="19" spans="1:8" s="28" customFormat="1" ht="14.1" customHeight="1" x14ac:dyDescent="0.25">
      <c r="A19" s="23" t="s">
        <v>80</v>
      </c>
      <c r="B19" s="24">
        <f t="shared" si="0"/>
        <v>0.86841961257561451</v>
      </c>
      <c r="C19" s="25">
        <f>'2018 Capacity Calc'!E15</f>
        <v>2511431587</v>
      </c>
      <c r="D19" s="25">
        <f>'2018 Capacity Calc'!F15</f>
        <v>330132</v>
      </c>
      <c r="E19" s="25"/>
      <c r="F19" s="25">
        <f>'[1]GSLD(T)-2'!$P$70</f>
        <v>435783.65055081039</v>
      </c>
      <c r="G19" s="25"/>
      <c r="H19" s="27">
        <f t="shared" ref="H19:H21" si="1">+C19/8760/F19</f>
        <v>0.65787943897492696</v>
      </c>
    </row>
    <row r="20" spans="1:8" s="28" customFormat="1" ht="14.1" customHeight="1" x14ac:dyDescent="0.25">
      <c r="A20" s="28" t="s">
        <v>81</v>
      </c>
      <c r="B20" s="24">
        <f t="shared" si="0"/>
        <v>0.8529861266795743</v>
      </c>
      <c r="C20" s="25">
        <f>'2018 Capacity Calc'!E16</f>
        <v>175782528</v>
      </c>
      <c r="D20" s="25">
        <f>'2018 Capacity Calc'!F16</f>
        <v>23525</v>
      </c>
      <c r="E20" s="25"/>
      <c r="F20" s="25"/>
      <c r="G20" s="25">
        <f>'[1]GSLD(T)-3'!$P$72</f>
        <v>30352.794882276725</v>
      </c>
      <c r="H20" s="27">
        <f>+C20/8760/G20</f>
        <v>0.66110876141603681</v>
      </c>
    </row>
    <row r="21" spans="1:8" s="28" customFormat="1" ht="14.1" customHeight="1" x14ac:dyDescent="0.25">
      <c r="A21" s="28" t="s">
        <v>83</v>
      </c>
      <c r="B21" s="24">
        <f t="shared" si="0"/>
        <v>0.77566210045662098</v>
      </c>
      <c r="C21" s="25">
        <f>'2018 Capacity Calc'!E17</f>
        <v>11856926</v>
      </c>
      <c r="D21" s="25">
        <f>'2018 Capacity Calc'!$F$17</f>
        <v>1745</v>
      </c>
      <c r="E21" s="25"/>
      <c r="F21" s="25">
        <f>'[1]SST-1D'!$P$70</f>
        <v>4559.8342849388291</v>
      </c>
      <c r="G21" s="25"/>
      <c r="H21" s="27">
        <f t="shared" si="1"/>
        <v>0.29683762187751556</v>
      </c>
    </row>
    <row r="22" spans="1:8" s="28" customFormat="1" ht="14.1" customHeight="1" x14ac:dyDescent="0.25">
      <c r="A22" s="28" t="s">
        <v>82</v>
      </c>
      <c r="B22" s="24">
        <f>+C22/8760/D22</f>
        <v>1.0642591991234092</v>
      </c>
      <c r="C22" s="25">
        <f>'2018 Capacity Calc'!E18</f>
        <v>89667754</v>
      </c>
      <c r="D22" s="25">
        <f>'2018 Capacity Calc'!$F$18</f>
        <v>9618</v>
      </c>
      <c r="E22" s="25"/>
      <c r="F22" s="25">
        <f>'[1]SST-1T'!$P$70</f>
        <v>90426.896702376936</v>
      </c>
      <c r="G22" s="25"/>
      <c r="H22" s="27">
        <f>+C22/8760/F22</f>
        <v>0.11319690656706886</v>
      </c>
    </row>
    <row r="23" spans="1:8" s="28" customFormat="1" ht="12.75" customHeight="1" x14ac:dyDescent="0.25">
      <c r="A23" s="28" t="s">
        <v>84</v>
      </c>
      <c r="B23" s="24">
        <f t="shared" si="0"/>
        <v>0.86503232421659781</v>
      </c>
      <c r="C23" s="25">
        <f>'2018 Capacity Calc'!E19</f>
        <v>2788466160</v>
      </c>
      <c r="D23" s="25">
        <f>'2018 Capacity Calc'!$F$19</f>
        <v>367984</v>
      </c>
      <c r="E23" s="25"/>
      <c r="F23" s="25"/>
      <c r="G23" s="25">
        <f>'[1]CILC-1D &amp; CILC-1G'!$P$72</f>
        <v>429330.2129284023</v>
      </c>
      <c r="H23" s="27">
        <f>+C23/8760/G23</f>
        <v>0.74142942939728584</v>
      </c>
    </row>
    <row r="24" spans="1:8" s="28" customFormat="1" ht="14.1" customHeight="1" x14ac:dyDescent="0.25">
      <c r="A24" s="28" t="s">
        <v>66</v>
      </c>
      <c r="B24" s="24">
        <f t="shared" si="0"/>
        <v>0.90405608682366434</v>
      </c>
      <c r="C24" s="25">
        <f>'2018 Capacity Calc'!E20</f>
        <v>1532421391</v>
      </c>
      <c r="D24" s="25">
        <f>'2018 Capacity Calc'!$F$20</f>
        <v>193499</v>
      </c>
      <c r="E24" s="25"/>
      <c r="F24" s="25"/>
      <c r="G24" s="25">
        <f>'[1]CILC-1T'!$P$72</f>
        <v>229161.80537125564</v>
      </c>
      <c r="H24" s="27">
        <f>+C24/8760/G24</f>
        <v>0.76336433316576868</v>
      </c>
    </row>
    <row r="25" spans="1:8" ht="14.1" customHeight="1" x14ac:dyDescent="0.25">
      <c r="A25" s="1" t="s">
        <v>68</v>
      </c>
      <c r="B25" s="19">
        <f t="shared" si="0"/>
        <v>0.71004538194577382</v>
      </c>
      <c r="C25" s="7">
        <f>'2018 Capacity Calc'!E21</f>
        <v>91241144</v>
      </c>
      <c r="D25" s="7">
        <f>'2018 Capacity Calc'!$F$21</f>
        <v>14669</v>
      </c>
      <c r="E25" s="7">
        <f>[1]MET!$P$69</f>
        <v>16130.08316769729</v>
      </c>
      <c r="H25" s="20">
        <f>+$C25/8760/E25</f>
        <v>0.64572858053338122</v>
      </c>
    </row>
    <row r="26" spans="1:8" ht="14.1" customHeight="1" x14ac:dyDescent="0.25">
      <c r="A26" s="1" t="s">
        <v>85</v>
      </c>
      <c r="B26" s="19">
        <f t="shared" si="0"/>
        <v>5.8150090791667841</v>
      </c>
      <c r="C26" s="7">
        <f>'2018 Capacity Calc'!E22</f>
        <v>668275032</v>
      </c>
      <c r="D26" s="7">
        <f>'2018 Capacity Calc'!F22</f>
        <v>13119</v>
      </c>
      <c r="E26" s="7"/>
      <c r="F26" s="7">
        <f>'[1]OL-1 &amp; SL-1'!$P$70</f>
        <v>155883.71334317679</v>
      </c>
      <c r="H26" s="20">
        <f>+C26/8760/F26</f>
        <v>0.48938469884691271</v>
      </c>
    </row>
    <row r="27" spans="1:8" ht="14.1" customHeight="1" x14ac:dyDescent="0.25">
      <c r="A27" s="1" t="s">
        <v>86</v>
      </c>
      <c r="B27" s="19">
        <f t="shared" si="0"/>
        <v>0.94283818977929446</v>
      </c>
      <c r="C27" s="7">
        <f>'2018 Capacity Calc'!E23</f>
        <v>104537486</v>
      </c>
      <c r="D27" s="7">
        <f>'2018 Capacity Calc'!F23</f>
        <v>12657</v>
      </c>
      <c r="E27" s="7"/>
      <c r="F27" s="7">
        <f>'[1]GSCU-1 &amp; SL-2'!$P$71</f>
        <v>12922.122706554675</v>
      </c>
      <c r="H27" s="20">
        <f>+C27/8760/F27</f>
        <v>0.92349401402784437</v>
      </c>
    </row>
    <row r="29" spans="1:8" ht="13.8" thickBot="1" x14ac:dyDescent="0.3">
      <c r="A29" s="3" t="s">
        <v>72</v>
      </c>
      <c r="C29" s="21">
        <f>SUM(C14:C28)</f>
        <v>107858876175</v>
      </c>
      <c r="D29" s="21">
        <f t="shared" ref="D29:G29" si="2">SUM(D14:D28)</f>
        <v>18975721</v>
      </c>
      <c r="E29" s="21">
        <f t="shared" si="2"/>
        <v>16130.08316769729</v>
      </c>
      <c r="F29" s="21">
        <f t="shared" si="2"/>
        <v>38406994.338855453</v>
      </c>
      <c r="G29" s="21">
        <f t="shared" si="2"/>
        <v>688844.81318193465</v>
      </c>
    </row>
    <row r="30" spans="1:8" ht="13.8" thickTop="1" x14ac:dyDescent="0.25"/>
    <row r="32" spans="1:8" x14ac:dyDescent="0.25">
      <c r="A32" s="3" t="s">
        <v>102</v>
      </c>
    </row>
    <row r="33" spans="1:7" x14ac:dyDescent="0.25">
      <c r="A33" s="3" t="s">
        <v>103</v>
      </c>
    </row>
    <row r="34" spans="1:7" x14ac:dyDescent="0.25">
      <c r="A34" s="2" t="s">
        <v>104</v>
      </c>
    </row>
    <row r="35" spans="1:7" x14ac:dyDescent="0.25">
      <c r="A35" s="2" t="s">
        <v>105</v>
      </c>
    </row>
    <row r="36" spans="1:7" x14ac:dyDescent="0.25">
      <c r="A36" s="1" t="s">
        <v>106</v>
      </c>
    </row>
    <row r="37" spans="1:7" s="5" customFormat="1" x14ac:dyDescent="0.25">
      <c r="A37" s="1" t="s">
        <v>107</v>
      </c>
      <c r="C37" s="6"/>
      <c r="D37" s="6"/>
      <c r="E37" s="6"/>
      <c r="F37" s="7"/>
      <c r="G37" s="7"/>
    </row>
    <row r="38" spans="1:7" s="5" customFormat="1" ht="12.75" x14ac:dyDescent="0.2">
      <c r="A38" s="1" t="s">
        <v>108</v>
      </c>
      <c r="C38" s="6"/>
      <c r="D38" s="6"/>
      <c r="E38" s="6"/>
      <c r="F38" s="7"/>
      <c r="G38" s="7"/>
    </row>
    <row r="39" spans="1:7" s="5" customFormat="1" ht="12.75" x14ac:dyDescent="0.2">
      <c r="A39" s="1" t="s">
        <v>109</v>
      </c>
      <c r="C39" s="6"/>
      <c r="D39" s="6"/>
      <c r="E39" s="6"/>
      <c r="F39" s="7"/>
      <c r="G39" s="7"/>
    </row>
    <row r="40" spans="1:7" s="5" customFormat="1" x14ac:dyDescent="0.25">
      <c r="A40" s="1" t="s">
        <v>110</v>
      </c>
      <c r="C40" s="6"/>
      <c r="D40" s="6"/>
      <c r="E40" s="6"/>
      <c r="F40" s="7"/>
      <c r="G40" s="7"/>
    </row>
  </sheetData>
  <mergeCells count="4">
    <mergeCell ref="A4:H4"/>
    <mergeCell ref="A5:H5"/>
    <mergeCell ref="A6:H6"/>
    <mergeCell ref="F9:H9"/>
  </mergeCells>
  <printOptions horizontalCentered="1"/>
  <pageMargins left="0" right="0" top="0.75" bottom="0.5" header="0.5" footer="0.5"/>
  <pageSetup scale="83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4"/>
  <sheetViews>
    <sheetView topLeftCell="O1" zoomScaleNormal="100" workbookViewId="0">
      <selection activeCell="O2" sqref="O1:O2"/>
    </sheetView>
  </sheetViews>
  <sheetFormatPr defaultColWidth="9.109375" defaultRowHeight="13.8" x14ac:dyDescent="0.3"/>
  <cols>
    <col min="1" max="1" width="8.44140625" style="51" bestFit="1" customWidth="1"/>
    <col min="2" max="2" width="15.33203125" style="51" bestFit="1" customWidth="1"/>
    <col min="3" max="3" width="39.109375" style="51" bestFit="1" customWidth="1"/>
    <col min="4" max="4" width="10.109375" style="51" bestFit="1" customWidth="1"/>
    <col min="5" max="5" width="15" style="51" bestFit="1" customWidth="1"/>
    <col min="6" max="6" width="10.44140625" style="51" bestFit="1" customWidth="1"/>
    <col min="7" max="8" width="11" style="51" bestFit="1" customWidth="1"/>
    <col min="9" max="9" width="15" style="51" bestFit="1" customWidth="1"/>
    <col min="10" max="10" width="11.6640625" style="51" bestFit="1" customWidth="1"/>
    <col min="11" max="11" width="9.6640625" style="51" bestFit="1" customWidth="1"/>
    <col min="12" max="12" width="11.44140625" style="51" bestFit="1" customWidth="1"/>
    <col min="13" max="13" width="4.6640625" style="51" customWidth="1"/>
    <col min="14" max="14" width="39.109375" style="51" bestFit="1" customWidth="1"/>
    <col min="15" max="15" width="35.109375" style="51" bestFit="1" customWidth="1"/>
    <col min="16" max="16" width="9.6640625" style="51" bestFit="1" customWidth="1"/>
    <col min="17" max="18" width="11.44140625" style="51" bestFit="1" customWidth="1"/>
    <col min="19" max="19" width="12.44140625" style="51" bestFit="1" customWidth="1"/>
    <col min="20" max="20" width="15.5546875" style="51" bestFit="1" customWidth="1"/>
    <col min="21" max="21" width="15" style="51" bestFit="1" customWidth="1"/>
    <col min="22" max="22" width="10.109375" style="51" bestFit="1" customWidth="1"/>
    <col min="23" max="23" width="11.44140625" style="51" bestFit="1" customWidth="1"/>
    <col min="24" max="24" width="8" style="51" bestFit="1" customWidth="1"/>
    <col min="25" max="25" width="9" style="51" bestFit="1" customWidth="1"/>
    <col min="26" max="27" width="7" style="51" bestFit="1" customWidth="1"/>
    <col min="28" max="16384" width="9.109375" style="51"/>
  </cols>
  <sheetData>
    <row r="1" spans="1:27" x14ac:dyDescent="0.3">
      <c r="O1" s="73" t="s">
        <v>124</v>
      </c>
    </row>
    <row r="2" spans="1:27" x14ac:dyDescent="0.3">
      <c r="O2" s="73" t="s">
        <v>120</v>
      </c>
    </row>
    <row r="4" spans="1:27" x14ac:dyDescent="0.3">
      <c r="B4" s="36"/>
      <c r="C4" s="36"/>
      <c r="D4" s="37" t="s">
        <v>2</v>
      </c>
      <c r="E4" s="37" t="s">
        <v>3</v>
      </c>
      <c r="F4" s="37" t="s">
        <v>4</v>
      </c>
      <c r="G4" s="37" t="s">
        <v>5</v>
      </c>
      <c r="H4" s="37" t="s">
        <v>6</v>
      </c>
      <c r="I4" s="37" t="s">
        <v>7</v>
      </c>
      <c r="J4" s="37" t="s">
        <v>8</v>
      </c>
      <c r="K4" s="37" t="s">
        <v>9</v>
      </c>
      <c r="L4" s="37" t="s">
        <v>10</v>
      </c>
      <c r="M4" s="36"/>
      <c r="N4" s="36"/>
      <c r="O4" s="36"/>
      <c r="P4" s="37" t="s">
        <v>2</v>
      </c>
      <c r="Q4" s="37" t="s">
        <v>3</v>
      </c>
      <c r="R4" s="37" t="s">
        <v>4</v>
      </c>
      <c r="S4" s="37" t="s">
        <v>5</v>
      </c>
      <c r="T4" s="37" t="s">
        <v>6</v>
      </c>
      <c r="U4" s="37" t="s">
        <v>7</v>
      </c>
      <c r="V4" s="37" t="s">
        <v>8</v>
      </c>
      <c r="W4" s="37" t="s">
        <v>9</v>
      </c>
      <c r="X4" s="37" t="s">
        <v>10</v>
      </c>
      <c r="Y4" s="37" t="s">
        <v>11</v>
      </c>
    </row>
    <row r="5" spans="1:27" x14ac:dyDescent="0.3">
      <c r="B5" s="36"/>
      <c r="C5" s="36"/>
      <c r="D5" s="37" t="s">
        <v>12</v>
      </c>
      <c r="E5" s="37" t="s">
        <v>13</v>
      </c>
      <c r="F5" s="37" t="s">
        <v>13</v>
      </c>
      <c r="G5" s="37" t="s">
        <v>14</v>
      </c>
      <c r="H5" s="37" t="s">
        <v>15</v>
      </c>
      <c r="I5" s="37" t="s">
        <v>13</v>
      </c>
      <c r="J5" s="37" t="s">
        <v>13</v>
      </c>
      <c r="K5" s="37" t="s">
        <v>16</v>
      </c>
      <c r="L5" s="37" t="s">
        <v>16</v>
      </c>
      <c r="M5" s="36"/>
      <c r="N5" s="36"/>
      <c r="O5" s="36"/>
      <c r="P5" s="37" t="s">
        <v>16</v>
      </c>
      <c r="Q5" s="37" t="s">
        <v>16</v>
      </c>
      <c r="R5" s="37" t="s">
        <v>15</v>
      </c>
      <c r="S5" s="37" t="s">
        <v>14</v>
      </c>
      <c r="T5" s="37" t="s">
        <v>17</v>
      </c>
      <c r="U5" s="37" t="s">
        <v>13</v>
      </c>
      <c r="V5" s="37" t="s">
        <v>18</v>
      </c>
      <c r="W5" s="37" t="s">
        <v>19</v>
      </c>
      <c r="X5" s="37" t="s">
        <v>20</v>
      </c>
      <c r="Y5" s="37" t="s">
        <v>20</v>
      </c>
    </row>
    <row r="6" spans="1:27" x14ac:dyDescent="0.3">
      <c r="B6" s="36"/>
      <c r="C6" s="38" t="s">
        <v>21</v>
      </c>
      <c r="D6" s="37" t="s">
        <v>22</v>
      </c>
      <c r="E6" s="37" t="s">
        <v>23</v>
      </c>
      <c r="F6" s="37" t="s">
        <v>24</v>
      </c>
      <c r="G6" s="37" t="s">
        <v>25</v>
      </c>
      <c r="H6" s="37" t="s">
        <v>25</v>
      </c>
      <c r="I6" s="37" t="s">
        <v>23</v>
      </c>
      <c r="J6" s="37" t="s">
        <v>24</v>
      </c>
      <c r="K6" s="37" t="s">
        <v>26</v>
      </c>
      <c r="L6" s="37" t="s">
        <v>27</v>
      </c>
      <c r="M6" s="36"/>
      <c r="N6" s="38" t="s">
        <v>21</v>
      </c>
      <c r="O6" s="38"/>
      <c r="P6" s="37" t="s">
        <v>26</v>
      </c>
      <c r="Q6" s="37" t="s">
        <v>27</v>
      </c>
      <c r="R6" s="37" t="s">
        <v>28</v>
      </c>
      <c r="S6" s="37" t="s">
        <v>28</v>
      </c>
      <c r="T6" s="37" t="s">
        <v>20</v>
      </c>
      <c r="U6" s="37" t="s">
        <v>23</v>
      </c>
      <c r="V6" s="37" t="s">
        <v>22</v>
      </c>
      <c r="W6" s="37" t="s">
        <v>29</v>
      </c>
      <c r="X6" s="37" t="s">
        <v>30</v>
      </c>
      <c r="Y6" s="37" t="s">
        <v>30</v>
      </c>
    </row>
    <row r="7" spans="1:27" x14ac:dyDescent="0.3">
      <c r="B7" s="36"/>
      <c r="C7" s="36"/>
      <c r="D7" s="37" t="s">
        <v>31</v>
      </c>
      <c r="E7" s="37" t="s">
        <v>32</v>
      </c>
      <c r="F7" s="37" t="s">
        <v>31</v>
      </c>
      <c r="G7" s="37" t="s">
        <v>33</v>
      </c>
      <c r="H7" s="37" t="s">
        <v>33</v>
      </c>
      <c r="I7" s="37" t="s">
        <v>34</v>
      </c>
      <c r="J7" s="37" t="s">
        <v>35</v>
      </c>
      <c r="K7" s="37" t="s">
        <v>34</v>
      </c>
      <c r="L7" s="37" t="s">
        <v>34</v>
      </c>
      <c r="M7" s="36"/>
      <c r="N7" s="36"/>
      <c r="O7" s="36"/>
      <c r="P7" s="37" t="s">
        <v>34</v>
      </c>
      <c r="Q7" s="37" t="s">
        <v>34</v>
      </c>
      <c r="R7" s="36"/>
      <c r="S7" s="36"/>
      <c r="T7" s="37" t="s">
        <v>36</v>
      </c>
      <c r="U7" s="37" t="s">
        <v>32</v>
      </c>
      <c r="V7" s="40"/>
      <c r="W7" s="37" t="s">
        <v>31</v>
      </c>
      <c r="X7" s="37" t="s">
        <v>37</v>
      </c>
      <c r="Y7" s="37" t="s">
        <v>37</v>
      </c>
      <c r="Z7" s="37" t="s">
        <v>111</v>
      </c>
      <c r="AA7" s="37" t="s">
        <v>112</v>
      </c>
    </row>
    <row r="8" spans="1:27" x14ac:dyDescent="0.3">
      <c r="B8" s="36"/>
      <c r="C8" s="36"/>
      <c r="D8" s="37" t="s">
        <v>38</v>
      </c>
      <c r="E8" s="37" t="s">
        <v>39</v>
      </c>
      <c r="F8" s="37" t="s">
        <v>40</v>
      </c>
      <c r="G8" s="37" t="s">
        <v>37</v>
      </c>
      <c r="H8" s="37" t="s">
        <v>37</v>
      </c>
      <c r="I8" s="37" t="s">
        <v>39</v>
      </c>
      <c r="J8" s="37" t="s">
        <v>40</v>
      </c>
      <c r="K8" s="37" t="s">
        <v>38</v>
      </c>
      <c r="L8" s="37" t="s">
        <v>38</v>
      </c>
      <c r="M8" s="36"/>
      <c r="N8" s="36"/>
      <c r="O8" s="36"/>
      <c r="P8" s="37" t="s">
        <v>38</v>
      </c>
      <c r="Q8" s="37" t="s">
        <v>38</v>
      </c>
      <c r="R8" s="37" t="s">
        <v>41</v>
      </c>
      <c r="S8" s="37" t="s">
        <v>41</v>
      </c>
      <c r="T8" s="37" t="s">
        <v>41</v>
      </c>
      <c r="U8" s="37" t="s">
        <v>39</v>
      </c>
      <c r="V8" s="37" t="s">
        <v>38</v>
      </c>
      <c r="W8" s="37" t="s">
        <v>42</v>
      </c>
      <c r="X8" s="37" t="s">
        <v>43</v>
      </c>
      <c r="Y8" s="37" t="s">
        <v>44</v>
      </c>
      <c r="Z8" s="37" t="s">
        <v>44</v>
      </c>
      <c r="AA8" s="37" t="s">
        <v>44</v>
      </c>
    </row>
    <row r="9" spans="1:27" x14ac:dyDescent="0.3"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</row>
    <row r="10" spans="1:27" x14ac:dyDescent="0.3">
      <c r="A10" s="51" t="s">
        <v>45</v>
      </c>
      <c r="B10" s="36" t="s">
        <v>45</v>
      </c>
      <c r="C10" s="38" t="s">
        <v>46</v>
      </c>
      <c r="D10" s="52">
        <f>'[1]RS(T)-1'!$Q$68</f>
        <v>0.58600543495497959</v>
      </c>
      <c r="E10" s="53">
        <f>SUM('[6]Forecast Summary by Rate Code'!$CH$29:$CS$29)</f>
        <v>57730448509</v>
      </c>
      <c r="F10" s="54">
        <f>ROUND(E10/(8760*D10),0)</f>
        <v>11246029</v>
      </c>
      <c r="G10" s="55">
        <f>[5]LLS_12CP_Demand_Losses_by_Rate!$C$60</f>
        <v>1.0646691328274209</v>
      </c>
      <c r="H10" s="55">
        <f>[5]LLS_Energy_Losses_by_Rate_Clas!$C$59</f>
        <v>1.0486554726996764</v>
      </c>
      <c r="I10" s="56">
        <f>E10*H10</f>
        <v>60539350770.36972</v>
      </c>
      <c r="J10" s="56">
        <f>F10*G10</f>
        <v>11973299.943182027</v>
      </c>
      <c r="K10" s="57">
        <f>I10/$I$25</f>
        <v>0.5327421056305004</v>
      </c>
      <c r="L10" s="41">
        <f>J10/$J$25</f>
        <v>0.58987000765219866</v>
      </c>
      <c r="M10" s="36"/>
      <c r="N10" s="38" t="s">
        <v>46</v>
      </c>
      <c r="O10" s="58" t="s">
        <v>45</v>
      </c>
      <c r="P10" s="41">
        <f t="shared" ref="P10:Q23" si="0">K10</f>
        <v>0.5327421056305004</v>
      </c>
      <c r="Q10" s="41">
        <f t="shared" si="0"/>
        <v>0.58987000765219866</v>
      </c>
      <c r="R10" s="59">
        <f>ROUND(+P10*($T$25*0.25),0)</f>
        <v>37710704</v>
      </c>
      <c r="S10" s="59">
        <f>ROUND(+Q10*($T$25*0.75),0)</f>
        <v>125263687</v>
      </c>
      <c r="T10" s="59">
        <f>R10+S10</f>
        <v>162974391</v>
      </c>
      <c r="U10" s="56">
        <f>E10</f>
        <v>57730448509</v>
      </c>
      <c r="V10" s="42"/>
      <c r="W10" s="37" t="s">
        <v>47</v>
      </c>
      <c r="X10" s="37" t="s">
        <v>47</v>
      </c>
      <c r="Y10" s="50">
        <f>ROUND(T10/U10,5)</f>
        <v>2.82E-3</v>
      </c>
    </row>
    <row r="11" spans="1:27" x14ac:dyDescent="0.3">
      <c r="A11" s="51" t="s">
        <v>48</v>
      </c>
      <c r="B11" s="36" t="s">
        <v>48</v>
      </c>
      <c r="C11" s="38" t="s">
        <v>49</v>
      </c>
      <c r="D11" s="52">
        <f>'[1]GS(T)-1'!$Q$69</f>
        <v>0.6442654800125015</v>
      </c>
      <c r="E11" s="53">
        <f>SUM('[6]Forecast Summary by Rate Code'!$CH$11:$CS$11)</f>
        <v>6029078746</v>
      </c>
      <c r="F11" s="54">
        <f>ROUND(E11/(8760*D11),0)</f>
        <v>1068272</v>
      </c>
      <c r="G11" s="55">
        <f>[5]LLS_12CP_Demand_Losses_by_Rate!$C$18</f>
        <v>1.0646691322160158</v>
      </c>
      <c r="H11" s="55">
        <f>[5]LLS_Energy_Losses_by_Rate_Clas!$C$18</f>
        <v>1.0486554726996764</v>
      </c>
      <c r="I11" s="56">
        <f t="shared" ref="I11:I23" si="1">E11*H11</f>
        <v>6322426422.3302021</v>
      </c>
      <c r="J11" s="56">
        <f t="shared" ref="J11:J23" si="2">F11*G11</f>
        <v>1137356.2232106675</v>
      </c>
      <c r="K11" s="57">
        <f t="shared" ref="K11:K23" si="3">I11/$I$25</f>
        <v>5.5636915858282392E-2</v>
      </c>
      <c r="L11" s="41">
        <f t="shared" ref="L11:L23" si="4">J11/$J$25</f>
        <v>5.6032365953596557E-2</v>
      </c>
      <c r="M11" s="36"/>
      <c r="N11" s="38" t="s">
        <v>50</v>
      </c>
      <c r="O11" s="58" t="s">
        <v>48</v>
      </c>
      <c r="P11" s="41">
        <f t="shared" si="0"/>
        <v>5.5636915858282392E-2</v>
      </c>
      <c r="Q11" s="41">
        <f t="shared" si="0"/>
        <v>5.6032365953596557E-2</v>
      </c>
      <c r="R11" s="59">
        <f t="shared" ref="R11:R23" si="5">ROUND(+P11*($T$25*0.25),0)</f>
        <v>3938317</v>
      </c>
      <c r="S11" s="59">
        <f t="shared" ref="S11:S23" si="6">ROUND(+Q11*($T$25*0.75),0)</f>
        <v>11898928</v>
      </c>
      <c r="T11" s="59">
        <f t="shared" ref="T11:T23" si="7">R11+S11</f>
        <v>15837245</v>
      </c>
      <c r="U11" s="56">
        <f t="shared" ref="U11:U23" si="8">E11</f>
        <v>6029078746</v>
      </c>
      <c r="V11" s="42"/>
      <c r="W11" s="37" t="s">
        <v>47</v>
      </c>
      <c r="X11" s="44" t="s">
        <v>47</v>
      </c>
      <c r="Y11" s="50">
        <f>ROUND(T11/U11,5)</f>
        <v>2.63E-3</v>
      </c>
    </row>
    <row r="12" spans="1:27" x14ac:dyDescent="0.3">
      <c r="A12" s="51" t="s">
        <v>51</v>
      </c>
      <c r="B12" s="36" t="s">
        <v>51</v>
      </c>
      <c r="C12" s="38" t="s">
        <v>52</v>
      </c>
      <c r="D12" s="52">
        <f>'[1]GSD(T)-1'!$Q$69</f>
        <v>0.72095715928252913</v>
      </c>
      <c r="E12" s="53">
        <f>SUM('[6]Forecast Summary by Rate Code'!$CH$15:$CS$15)</f>
        <v>26061775857</v>
      </c>
      <c r="F12" s="54">
        <f t="shared" ref="F12:F23" si="9">ROUND(E12/(8760*D12),0)</f>
        <v>4126582</v>
      </c>
      <c r="G12" s="55">
        <f>[5]LLS_12CP_Demand_Losses_by_Rate!$C$27</f>
        <v>1.0645832438034282</v>
      </c>
      <c r="H12" s="55">
        <f>[5]LLS_Energy_Losses_by_Rate_Clas!$C$27</f>
        <v>1.0485916395184989</v>
      </c>
      <c r="I12" s="56">
        <f t="shared" si="1"/>
        <v>27328160274.655262</v>
      </c>
      <c r="J12" s="56">
        <f t="shared" si="2"/>
        <v>4393090.0513808383</v>
      </c>
      <c r="K12" s="57">
        <f t="shared" si="3"/>
        <v>0.24048592299825758</v>
      </c>
      <c r="L12" s="41">
        <f t="shared" si="4"/>
        <v>0.21642755752564355</v>
      </c>
      <c r="M12" s="36"/>
      <c r="N12" s="38" t="s">
        <v>52</v>
      </c>
      <c r="O12" s="60" t="s">
        <v>78</v>
      </c>
      <c r="P12" s="41">
        <f t="shared" si="0"/>
        <v>0.24048592299825758</v>
      </c>
      <c r="Q12" s="41">
        <f t="shared" si="0"/>
        <v>0.21642755752564355</v>
      </c>
      <c r="R12" s="59">
        <f t="shared" si="5"/>
        <v>17023046</v>
      </c>
      <c r="S12" s="59">
        <f t="shared" si="6"/>
        <v>45960150</v>
      </c>
      <c r="T12" s="59">
        <f t="shared" si="7"/>
        <v>62983196</v>
      </c>
      <c r="U12" s="56">
        <f t="shared" si="8"/>
        <v>26061775857</v>
      </c>
      <c r="V12" s="41">
        <f>+VLOOKUP($O12,'2018 Clause Allocations'!A14:H27,8,FALSE)</f>
        <v>0.50155091654498307</v>
      </c>
      <c r="W12" s="61">
        <f>ROUND(U12/(V12*730),0)</f>
        <v>71181333</v>
      </c>
      <c r="X12" s="48">
        <f>ROUND(T12/W12,2)</f>
        <v>0.88</v>
      </c>
      <c r="Y12" s="37" t="s">
        <v>47</v>
      </c>
      <c r="Z12" s="62"/>
      <c r="AA12" s="63"/>
    </row>
    <row r="13" spans="1:27" x14ac:dyDescent="0.3">
      <c r="A13" s="51" t="s">
        <v>53</v>
      </c>
      <c r="B13" s="36" t="s">
        <v>53</v>
      </c>
      <c r="C13" s="38" t="s">
        <v>54</v>
      </c>
      <c r="D13" s="52">
        <f>'[1]OS-2'!$Q$68</f>
        <v>0.91441212893786994</v>
      </c>
      <c r="E13" s="53">
        <f>SUM('[6]Forecast Summary by Rate Code'!$CH$27:$CS$27)</f>
        <v>10752359</v>
      </c>
      <c r="F13" s="54">
        <f t="shared" si="9"/>
        <v>1342</v>
      </c>
      <c r="G13" s="55">
        <f>[5]LLS_12CP_Demand_Losses_by_Rate!$C$54</f>
        <v>1.0571766406453194</v>
      </c>
      <c r="H13" s="55">
        <f>[5]LLS_Energy_Losses_by_Rate_Clas!$C$53</f>
        <v>1.0266324251987167</v>
      </c>
      <c r="I13" s="56">
        <f t="shared" si="1"/>
        <v>11038720.396777248</v>
      </c>
      <c r="J13" s="56">
        <f t="shared" si="2"/>
        <v>1418.7310517460185</v>
      </c>
      <c r="K13" s="57">
        <f t="shared" si="3"/>
        <v>9.7139977102690512E-5</v>
      </c>
      <c r="L13" s="41">
        <f t="shared" si="4"/>
        <v>6.9894423452272574E-5</v>
      </c>
      <c r="M13" s="36"/>
      <c r="N13" s="38" t="s">
        <v>54</v>
      </c>
      <c r="O13" s="58" t="s">
        <v>53</v>
      </c>
      <c r="P13" s="41">
        <f t="shared" si="0"/>
        <v>9.7139977102690512E-5</v>
      </c>
      <c r="Q13" s="41">
        <f t="shared" si="0"/>
        <v>6.9894423452272574E-5</v>
      </c>
      <c r="R13" s="59">
        <f t="shared" si="5"/>
        <v>6876</v>
      </c>
      <c r="S13" s="59">
        <f t="shared" si="6"/>
        <v>14843</v>
      </c>
      <c r="T13" s="59">
        <f t="shared" si="7"/>
        <v>21719</v>
      </c>
      <c r="U13" s="56">
        <f t="shared" si="8"/>
        <v>10752359</v>
      </c>
      <c r="V13" s="41"/>
      <c r="W13" s="61"/>
      <c r="X13" s="44" t="s">
        <v>47</v>
      </c>
      <c r="Y13" s="50">
        <f>ROUND(T13/U13,5)</f>
        <v>2.0200000000000001E-3</v>
      </c>
      <c r="Z13" s="62"/>
      <c r="AA13" s="68"/>
    </row>
    <row r="14" spans="1:27" x14ac:dyDescent="0.3">
      <c r="A14" s="51" t="s">
        <v>55</v>
      </c>
      <c r="B14" s="36" t="s">
        <v>55</v>
      </c>
      <c r="C14" s="38" t="s">
        <v>56</v>
      </c>
      <c r="D14" s="52">
        <f>'[1]GSLD(T)-1'!$Q$68</f>
        <v>0.72584879896509791</v>
      </c>
      <c r="E14" s="53">
        <f>SUM('[6]Forecast Summary by Rate Code'!$CH$17:$CS$17)</f>
        <v>10610067590</v>
      </c>
      <c r="F14" s="54">
        <f t="shared" si="9"/>
        <v>1668660</v>
      </c>
      <c r="G14" s="55">
        <f>[5]LLS_12CP_Demand_Losses_by_Rate!$C$32</f>
        <v>1.0634959822708607</v>
      </c>
      <c r="H14" s="55">
        <f>[5]LLS_Energy_Losses_by_Rate_Clas!$C$32</f>
        <v>1.04780936213973</v>
      </c>
      <c r="I14" s="56">
        <f t="shared" si="1"/>
        <v>11117328153.737322</v>
      </c>
      <c r="J14" s="56">
        <f t="shared" si="2"/>
        <v>1774613.2057760945</v>
      </c>
      <c r="K14" s="57">
        <f t="shared" si="3"/>
        <v>9.7831719934896394E-2</v>
      </c>
      <c r="L14" s="41">
        <f t="shared" si="4"/>
        <v>8.7427117857087788E-2</v>
      </c>
      <c r="M14" s="36"/>
      <c r="N14" s="38" t="s">
        <v>56</v>
      </c>
      <c r="O14" s="60" t="s">
        <v>79</v>
      </c>
      <c r="P14" s="41">
        <f t="shared" si="0"/>
        <v>9.7831719934896394E-2</v>
      </c>
      <c r="Q14" s="41">
        <f t="shared" si="0"/>
        <v>8.7427117857087788E-2</v>
      </c>
      <c r="R14" s="59">
        <f t="shared" si="5"/>
        <v>6925120</v>
      </c>
      <c r="S14" s="59">
        <f t="shared" si="6"/>
        <v>18565859</v>
      </c>
      <c r="T14" s="59">
        <f t="shared" si="7"/>
        <v>25490979</v>
      </c>
      <c r="U14" s="56">
        <f t="shared" si="8"/>
        <v>10610067590</v>
      </c>
      <c r="V14" s="41">
        <f>+VLOOKUP($O14,'2018 Clause Allocations'!A16:H29,8,FALSE)</f>
        <v>0.56712261429768029</v>
      </c>
      <c r="W14" s="61">
        <f t="shared" ref="W14:W21" si="10">ROUND(U14/(V14*730),0)</f>
        <v>25628213</v>
      </c>
      <c r="X14" s="48">
        <f t="shared" ref="X14:X16" si="11">ROUND(T14/W14,2)</f>
        <v>0.99</v>
      </c>
      <c r="Y14" s="37" t="s">
        <v>47</v>
      </c>
      <c r="Z14" s="62"/>
      <c r="AA14" s="63"/>
    </row>
    <row r="15" spans="1:27" x14ac:dyDescent="0.3">
      <c r="A15" s="51" t="s">
        <v>57</v>
      </c>
      <c r="B15" s="36" t="s">
        <v>57</v>
      </c>
      <c r="C15" s="38" t="s">
        <v>58</v>
      </c>
      <c r="D15" s="52">
        <f>'[1]GSLD(T)-2'!$Q$68</f>
        <v>0.86841877290340996</v>
      </c>
      <c r="E15" s="53">
        <f>SUM('[6]Forecast Summary by Rate Code'!$CH$19:$CS$19)</f>
        <v>2538624542</v>
      </c>
      <c r="F15" s="54">
        <f t="shared" si="9"/>
        <v>333707</v>
      </c>
      <c r="G15" s="55">
        <f>[5]LLS_12CP_Demand_Losses_by_Rate!$C$37</f>
        <v>1.0549746694884183</v>
      </c>
      <c r="H15" s="55">
        <f>[5]LLS_Energy_Losses_by_Rate_Clas!$C$37</f>
        <v>1.0411291709359818</v>
      </c>
      <c r="I15" s="56">
        <f t="shared" si="1"/>
        <v>2643036064.7301965</v>
      </c>
      <c r="J15" s="56">
        <f t="shared" si="2"/>
        <v>352052.43203097163</v>
      </c>
      <c r="K15" s="57">
        <f t="shared" si="3"/>
        <v>2.3258534828405748E-2</v>
      </c>
      <c r="L15" s="41">
        <f t="shared" si="4"/>
        <v>1.7344021427804911E-2</v>
      </c>
      <c r="M15" s="36"/>
      <c r="N15" s="38" t="s">
        <v>59</v>
      </c>
      <c r="O15" s="60" t="s">
        <v>80</v>
      </c>
      <c r="P15" s="41">
        <f t="shared" si="0"/>
        <v>2.3258534828405748E-2</v>
      </c>
      <c r="Q15" s="41">
        <f t="shared" si="0"/>
        <v>1.7344021427804911E-2</v>
      </c>
      <c r="R15" s="59">
        <f t="shared" si="5"/>
        <v>1646380</v>
      </c>
      <c r="S15" s="59">
        <f t="shared" si="6"/>
        <v>3683144</v>
      </c>
      <c r="T15" s="59">
        <f t="shared" si="7"/>
        <v>5329524</v>
      </c>
      <c r="U15" s="56">
        <f t="shared" si="8"/>
        <v>2538624542</v>
      </c>
      <c r="V15" s="41">
        <f>+VLOOKUP($O15,'2018 Clause Allocations'!A17:H30,8,FALSE)</f>
        <v>0.65787943897492696</v>
      </c>
      <c r="W15" s="61">
        <f t="shared" si="10"/>
        <v>5286026</v>
      </c>
      <c r="X15" s="48">
        <f t="shared" si="11"/>
        <v>1.01</v>
      </c>
      <c r="Y15" s="37" t="s">
        <v>47</v>
      </c>
      <c r="Z15" s="62"/>
      <c r="AA15" s="63"/>
    </row>
    <row r="16" spans="1:27" x14ac:dyDescent="0.3">
      <c r="A16" s="51" t="s">
        <v>60</v>
      </c>
      <c r="B16" s="36" t="s">
        <v>60</v>
      </c>
      <c r="C16" s="38" t="s">
        <v>61</v>
      </c>
      <c r="D16" s="52">
        <f>'[1]GSLD(T)-3'!$Q$69</f>
        <v>0.85297493338993025</v>
      </c>
      <c r="E16" s="53">
        <f>SUM('[6]Forecast Summary by Rate Code'!$CH$21:$CS$21)</f>
        <v>177842598</v>
      </c>
      <c r="F16" s="54">
        <f>ROUND(E16/(8760*D16),0)</f>
        <v>23801</v>
      </c>
      <c r="G16" s="55">
        <f>[5]LLS_12CP_Demand_Losses_by_Rate!$C$41</f>
        <v>1.0219163653884258</v>
      </c>
      <c r="H16" s="55">
        <f>[5]LLS_Energy_Losses_by_Rate_Clas!$C$41</f>
        <v>1.0170123194074383</v>
      </c>
      <c r="I16" s="56">
        <f t="shared" si="1"/>
        <v>180868113.08142465</v>
      </c>
      <c r="J16" s="56">
        <f t="shared" si="2"/>
        <v>24322.631412609921</v>
      </c>
      <c r="K16" s="57">
        <f t="shared" si="3"/>
        <v>1.5916269034648117E-3</v>
      </c>
      <c r="L16" s="41">
        <f t="shared" si="4"/>
        <v>1.1982653775952186E-3</v>
      </c>
      <c r="M16" s="36"/>
      <c r="N16" s="38" t="s">
        <v>61</v>
      </c>
      <c r="O16" s="58" t="s">
        <v>81</v>
      </c>
      <c r="P16" s="41">
        <f t="shared" si="0"/>
        <v>1.5916269034648117E-3</v>
      </c>
      <c r="Q16" s="41">
        <f t="shared" si="0"/>
        <v>1.1982653775952186E-3</v>
      </c>
      <c r="R16" s="59">
        <f t="shared" si="5"/>
        <v>112665</v>
      </c>
      <c r="S16" s="59">
        <f t="shared" si="6"/>
        <v>254461</v>
      </c>
      <c r="T16" s="59">
        <f t="shared" si="7"/>
        <v>367126</v>
      </c>
      <c r="U16" s="56">
        <f t="shared" si="8"/>
        <v>177842598</v>
      </c>
      <c r="V16" s="41">
        <f>+VLOOKUP($O16,'2018 Clause Allocations'!A18:H31,8,FALSE)</f>
        <v>0.66110876141603681</v>
      </c>
      <c r="W16" s="61">
        <f t="shared" si="10"/>
        <v>368502</v>
      </c>
      <c r="X16" s="48">
        <f t="shared" si="11"/>
        <v>1</v>
      </c>
      <c r="Y16" s="37" t="s">
        <v>47</v>
      </c>
      <c r="Z16" s="62"/>
      <c r="AA16" s="63"/>
    </row>
    <row r="17" spans="1:27" x14ac:dyDescent="0.3">
      <c r="A17" s="51" t="s">
        <v>63</v>
      </c>
      <c r="B17" s="36" t="s">
        <v>83</v>
      </c>
      <c r="C17" s="38" t="s">
        <v>77</v>
      </c>
      <c r="D17" s="52">
        <f>'[1]SST-1D'!$Q$68</f>
        <v>0.7756741267446351</v>
      </c>
      <c r="E17" s="53">
        <f>SUM('[6]Forecast Summary by Rate Code'!$CH$35:$CS$35)</f>
        <v>11856926</v>
      </c>
      <c r="F17" s="54">
        <f t="shared" si="9"/>
        <v>1745</v>
      </c>
      <c r="G17" s="55">
        <f>[5]LLS_12CP_Demand_Losses_by_Rate!$C$72</f>
        <v>1.0348593807299622</v>
      </c>
      <c r="H17" s="55">
        <f>[5]LLS_Energy_Losses_by_Rate_Clas!$C$71</f>
        <v>1.0266324251987167</v>
      </c>
      <c r="I17" s="56">
        <f t="shared" si="1"/>
        <v>12172704.694781719</v>
      </c>
      <c r="J17" s="56">
        <f t="shared" si="2"/>
        <v>1805.829619373784</v>
      </c>
      <c r="K17" s="57">
        <f t="shared" si="3"/>
        <v>1.0711896060653256E-4</v>
      </c>
      <c r="L17" s="41">
        <f t="shared" si="4"/>
        <v>8.8965008515062041E-5</v>
      </c>
      <c r="M17" s="36"/>
      <c r="N17" s="38" t="s">
        <v>77</v>
      </c>
      <c r="O17" s="58" t="s">
        <v>83</v>
      </c>
      <c r="P17" s="41">
        <f t="shared" si="0"/>
        <v>1.0711896060653256E-4</v>
      </c>
      <c r="Q17" s="41">
        <f t="shared" si="0"/>
        <v>8.8965008515062041E-5</v>
      </c>
      <c r="R17" s="59">
        <f t="shared" si="5"/>
        <v>7583</v>
      </c>
      <c r="S17" s="59">
        <f t="shared" si="6"/>
        <v>18892</v>
      </c>
      <c r="T17" s="59">
        <f t="shared" si="7"/>
        <v>26475</v>
      </c>
      <c r="U17" s="56">
        <f t="shared" si="8"/>
        <v>11856926</v>
      </c>
      <c r="V17" s="41">
        <f>+VLOOKUP($O17,'2018 Clause Allocations'!A19:H32,8,FALSE)</f>
        <v>0.29683762187751556</v>
      </c>
      <c r="W17" s="61">
        <f t="shared" si="10"/>
        <v>54718</v>
      </c>
      <c r="X17" s="37" t="s">
        <v>47</v>
      </c>
      <c r="Y17" s="37" t="s">
        <v>47</v>
      </c>
      <c r="Z17" s="48">
        <f>ROUND(($T$25/$J$25*0.1*$G17)/12,2)</f>
        <v>0.12</v>
      </c>
      <c r="AA17" s="48">
        <f>ROUND(($T$25/$J$25/21*$G17)/12,2)</f>
        <v>0.06</v>
      </c>
    </row>
    <row r="18" spans="1:27" x14ac:dyDescent="0.3">
      <c r="A18" s="51" t="s">
        <v>62</v>
      </c>
      <c r="B18" s="36" t="s">
        <v>82</v>
      </c>
      <c r="C18" s="38" t="s">
        <v>76</v>
      </c>
      <c r="D18" s="52">
        <f>'[1]SST-1T'!$Q$68</f>
        <v>1.0642537654835582</v>
      </c>
      <c r="E18" s="53">
        <f>SUM('[6]Forecast Summary by Rate Code'!$CH$37:$CS$37)</f>
        <v>89667754</v>
      </c>
      <c r="F18" s="54">
        <f t="shared" si="9"/>
        <v>9618</v>
      </c>
      <c r="G18" s="55">
        <f>[5]LLS_12CP_Demand_Losses_by_Rate!$C$76</f>
        <v>1.0219163663347777</v>
      </c>
      <c r="H18" s="55">
        <f>[5]LLS_Energy_Losses_by_Rate_Clas!$C$75</f>
        <v>1.0170123194074383</v>
      </c>
      <c r="I18" s="56">
        <f t="shared" si="1"/>
        <v>91193210.4715956</v>
      </c>
      <c r="J18" s="56">
        <f t="shared" si="2"/>
        <v>9828.7916114078907</v>
      </c>
      <c r="K18" s="57">
        <f t="shared" si="3"/>
        <v>8.0249395389323137E-4</v>
      </c>
      <c r="L18" s="41">
        <f t="shared" si="4"/>
        <v>4.8421984002283648E-4</v>
      </c>
      <c r="M18" s="36"/>
      <c r="N18" s="38" t="s">
        <v>76</v>
      </c>
      <c r="O18" s="58" t="s">
        <v>82</v>
      </c>
      <c r="P18" s="41">
        <f t="shared" si="0"/>
        <v>8.0249395389323137E-4</v>
      </c>
      <c r="Q18" s="41">
        <f t="shared" si="0"/>
        <v>4.8421984002283648E-4</v>
      </c>
      <c r="R18" s="59">
        <f t="shared" si="5"/>
        <v>56805</v>
      </c>
      <c r="S18" s="59">
        <f t="shared" si="6"/>
        <v>102828</v>
      </c>
      <c r="T18" s="59">
        <f t="shared" si="7"/>
        <v>159633</v>
      </c>
      <c r="U18" s="56">
        <f t="shared" si="8"/>
        <v>89667754</v>
      </c>
      <c r="V18" s="41">
        <f>+VLOOKUP($O18,'2018 Clause Allocations'!A20:H33,8,FALSE)</f>
        <v>0.11319690656706886</v>
      </c>
      <c r="W18" s="61">
        <f t="shared" si="10"/>
        <v>1085123</v>
      </c>
      <c r="X18" s="37" t="s">
        <v>47</v>
      </c>
      <c r="Y18" s="37" t="s">
        <v>47</v>
      </c>
      <c r="Z18" s="48">
        <f>ROUND(($T$25/$J$25*0.1*$G18)/12,2)</f>
        <v>0.12</v>
      </c>
      <c r="AA18" s="48">
        <f>ROUND(($T$25/$J$25/21*$G18)/12,2)</f>
        <v>0.06</v>
      </c>
    </row>
    <row r="19" spans="1:27" x14ac:dyDescent="0.3">
      <c r="A19" s="51" t="s">
        <v>64</v>
      </c>
      <c r="B19" s="36" t="s">
        <v>116</v>
      </c>
      <c r="C19" s="38" t="s">
        <v>65</v>
      </c>
      <c r="D19" s="52">
        <f>'[1]CILC-1D &amp; CILC-1G'!$Q$69</f>
        <v>0.86503287752103508</v>
      </c>
      <c r="E19" s="53">
        <f>SUM('[6]Forecast Summary by Rate Code'!$CH$5:$CS$7)</f>
        <v>2785458444</v>
      </c>
      <c r="F19" s="54">
        <f t="shared" si="9"/>
        <v>367587</v>
      </c>
      <c r="G19" s="55">
        <f>[5]LLS_Demand_Losses_by_Rate_Grou!$E$5</f>
        <v>1.0533993357888443</v>
      </c>
      <c r="H19" s="55">
        <f>[5]LLS_Energy_Losses_by_Rate_Grou!$E$5</f>
        <v>1.0405293502860777</v>
      </c>
      <c r="I19" s="56">
        <f t="shared" si="1"/>
        <v>2898351264.984189</v>
      </c>
      <c r="J19" s="56">
        <f t="shared" si="2"/>
        <v>387215.90164461388</v>
      </c>
      <c r="K19" s="57">
        <f t="shared" si="3"/>
        <v>2.5505290957302935E-2</v>
      </c>
      <c r="L19" s="41">
        <f t="shared" si="4"/>
        <v>1.9076365575909884E-2</v>
      </c>
      <c r="M19" s="36"/>
      <c r="N19" s="38" t="s">
        <v>65</v>
      </c>
      <c r="O19" s="58" t="s">
        <v>84</v>
      </c>
      <c r="P19" s="41">
        <f t="shared" si="0"/>
        <v>2.5505290957302935E-2</v>
      </c>
      <c r="Q19" s="41">
        <f t="shared" si="0"/>
        <v>1.9076365575909884E-2</v>
      </c>
      <c r="R19" s="59">
        <f t="shared" si="5"/>
        <v>1805419</v>
      </c>
      <c r="S19" s="59">
        <f t="shared" si="6"/>
        <v>4051021</v>
      </c>
      <c r="T19" s="59">
        <f t="shared" si="7"/>
        <v>5856440</v>
      </c>
      <c r="U19" s="56">
        <f t="shared" si="8"/>
        <v>2785458444</v>
      </c>
      <c r="V19" s="41">
        <f>+VLOOKUP($O19,'2018 Clause Allocations'!A21:H34,8,FALSE)</f>
        <v>0.74142942939728584</v>
      </c>
      <c r="W19" s="61">
        <f t="shared" si="10"/>
        <v>5146406</v>
      </c>
      <c r="X19" s="48">
        <f t="shared" ref="X19:X21" si="12">ROUND(T19/W19,2)</f>
        <v>1.1399999999999999</v>
      </c>
      <c r="Y19" s="37" t="s">
        <v>47</v>
      </c>
      <c r="Z19" s="62"/>
      <c r="AA19" s="63"/>
    </row>
    <row r="20" spans="1:27" x14ac:dyDescent="0.3">
      <c r="A20" s="51" t="s">
        <v>66</v>
      </c>
      <c r="B20" s="36" t="s">
        <v>66</v>
      </c>
      <c r="C20" s="38" t="s">
        <v>67</v>
      </c>
      <c r="D20" s="52">
        <f>'[1]CILC-1T'!$Q$69</f>
        <v>0.90405436942759743</v>
      </c>
      <c r="E20" s="53">
        <f>SUM('[6]Forecast Summary by Rate Code'!$CH$9:$CS$9)</f>
        <v>1551367200</v>
      </c>
      <c r="F20" s="54">
        <f t="shared" si="9"/>
        <v>195892</v>
      </c>
      <c r="G20" s="55">
        <f>[5]LLS_12CP_Demand_Losses_by_Rate!$C$14</f>
        <v>1.0219163648227962</v>
      </c>
      <c r="H20" s="55">
        <f>[5]LLS_Energy_Losses_by_Rate_Clas!$C$14</f>
        <v>1.0170123194074383</v>
      </c>
      <c r="I20" s="56">
        <f t="shared" si="1"/>
        <v>1577759554.3246231</v>
      </c>
      <c r="J20" s="56">
        <f t="shared" si="2"/>
        <v>200185.24053786721</v>
      </c>
      <c r="K20" s="57">
        <f t="shared" si="3"/>
        <v>1.388417511013236E-2</v>
      </c>
      <c r="L20" s="41">
        <f t="shared" si="4"/>
        <v>9.8622159244552525E-3</v>
      </c>
      <c r="M20" s="36"/>
      <c r="N20" s="38" t="s">
        <v>67</v>
      </c>
      <c r="O20" s="58" t="s">
        <v>66</v>
      </c>
      <c r="P20" s="41">
        <f t="shared" si="0"/>
        <v>1.388417511013236E-2</v>
      </c>
      <c r="Q20" s="41">
        <f t="shared" si="0"/>
        <v>9.8622159244552525E-3</v>
      </c>
      <c r="R20" s="59">
        <f t="shared" si="5"/>
        <v>982806</v>
      </c>
      <c r="S20" s="59">
        <f t="shared" si="6"/>
        <v>2094322</v>
      </c>
      <c r="T20" s="59">
        <f t="shared" si="7"/>
        <v>3077128</v>
      </c>
      <c r="U20" s="56">
        <f t="shared" si="8"/>
        <v>1551367200</v>
      </c>
      <c r="V20" s="41">
        <f>+VLOOKUP($O20,'2018 Clause Allocations'!A21:H35,8,FALSE)</f>
        <v>0.76336433316576868</v>
      </c>
      <c r="W20" s="61">
        <f t="shared" si="10"/>
        <v>2783940</v>
      </c>
      <c r="X20" s="48">
        <f t="shared" si="12"/>
        <v>1.1100000000000001</v>
      </c>
      <c r="Y20" s="37" t="s">
        <v>47</v>
      </c>
      <c r="Z20" s="62"/>
      <c r="AA20" s="63"/>
    </row>
    <row r="21" spans="1:27" x14ac:dyDescent="0.3">
      <c r="A21" s="51" t="s">
        <v>68</v>
      </c>
      <c r="B21" s="36" t="s">
        <v>68</v>
      </c>
      <c r="C21" s="38" t="s">
        <v>68</v>
      </c>
      <c r="D21" s="52">
        <f>[1]MET!$Q$68</f>
        <v>0.71006928440649986</v>
      </c>
      <c r="E21" s="53">
        <f>SUM('[6]Forecast Summary by Rate Code'!$CH$23:$CS$23)</f>
        <v>91224719</v>
      </c>
      <c r="F21" s="54">
        <f t="shared" si="9"/>
        <v>14666</v>
      </c>
      <c r="G21" s="55">
        <f>[5]LLS_12CP_Demand_Losses_by_Rate!$C$45</f>
        <v>1.0348593797787911</v>
      </c>
      <c r="H21" s="55">
        <f>[5]LLS_Energy_Losses_by_Rate_Clas!$C$45</f>
        <v>1.0266324251987167</v>
      </c>
      <c r="I21" s="56">
        <f t="shared" si="1"/>
        <v>93654254.50504145</v>
      </c>
      <c r="J21" s="56">
        <f t="shared" si="2"/>
        <v>15177.247663835749</v>
      </c>
      <c r="K21" s="57">
        <f t="shared" si="3"/>
        <v>8.2415097141561001E-4</v>
      </c>
      <c r="L21" s="41">
        <f t="shared" si="4"/>
        <v>7.477139333424952E-4</v>
      </c>
      <c r="M21" s="36"/>
      <c r="N21" s="38" t="s">
        <v>68</v>
      </c>
      <c r="O21" s="58" t="s">
        <v>68</v>
      </c>
      <c r="P21" s="41">
        <f t="shared" si="0"/>
        <v>8.2415097141561001E-4</v>
      </c>
      <c r="Q21" s="41">
        <f t="shared" si="0"/>
        <v>7.477139333424952E-4</v>
      </c>
      <c r="R21" s="59">
        <f t="shared" si="5"/>
        <v>58338</v>
      </c>
      <c r="S21" s="59">
        <f t="shared" si="6"/>
        <v>158783</v>
      </c>
      <c r="T21" s="59">
        <f t="shared" si="7"/>
        <v>217121</v>
      </c>
      <c r="U21" s="56">
        <f t="shared" si="8"/>
        <v>91224719</v>
      </c>
      <c r="V21" s="41">
        <f>+VLOOKUP($O21,'2018 Clause Allocations'!A23:H36,8,FALSE)</f>
        <v>0.64572858053338122</v>
      </c>
      <c r="W21" s="61">
        <f t="shared" si="10"/>
        <v>193526</v>
      </c>
      <c r="X21" s="48">
        <f t="shared" si="12"/>
        <v>1.1200000000000001</v>
      </c>
      <c r="Y21" s="37" t="s">
        <v>47</v>
      </c>
      <c r="Z21" s="62"/>
      <c r="AA21" s="63"/>
    </row>
    <row r="22" spans="1:27" x14ac:dyDescent="0.3">
      <c r="A22" s="51" t="s">
        <v>0</v>
      </c>
      <c r="B22" s="36" t="s">
        <v>117</v>
      </c>
      <c r="C22" s="38" t="s">
        <v>69</v>
      </c>
      <c r="D22" s="52">
        <f>'[1]OL-1 &amp; SL-1'!$Q$68</f>
        <v>5.8150031949913128</v>
      </c>
      <c r="E22" s="53">
        <f>SUM('[6]Forecast Summary by Rate Code'!$CH$25:$CS$25)+SUM('[6]Forecast Summary by Rate Code'!$CH$31:$CS$31)</f>
        <v>677742842</v>
      </c>
      <c r="F22" s="54">
        <f t="shared" si="9"/>
        <v>13305</v>
      </c>
      <c r="G22" s="55">
        <f>[5]LLS_12CP_Demand_Losses_by_Rate!$C$49</f>
        <v>1.0646691330406721</v>
      </c>
      <c r="H22" s="55">
        <f>[5]LLS_Energy_Losses_by_Rate_Clas!$C$49</f>
        <v>1.0486554726996764</v>
      </c>
      <c r="I22" s="56">
        <f t="shared" si="1"/>
        <v>710718740.34633207</v>
      </c>
      <c r="J22" s="56">
        <f t="shared" si="2"/>
        <v>14165.422815106143</v>
      </c>
      <c r="K22" s="57">
        <f t="shared" si="3"/>
        <v>6.2542758292756222E-3</v>
      </c>
      <c r="L22" s="41">
        <f t="shared" si="4"/>
        <v>6.9786592702050538E-4</v>
      </c>
      <c r="M22" s="36"/>
      <c r="N22" s="38" t="s">
        <v>69</v>
      </c>
      <c r="O22" s="58" t="s">
        <v>85</v>
      </c>
      <c r="P22" s="41">
        <f t="shared" si="0"/>
        <v>6.2542758292756222E-3</v>
      </c>
      <c r="Q22" s="41">
        <f t="shared" si="0"/>
        <v>6.9786592702050538E-4</v>
      </c>
      <c r="R22" s="59">
        <f t="shared" si="5"/>
        <v>442715</v>
      </c>
      <c r="S22" s="59">
        <f t="shared" si="6"/>
        <v>148197</v>
      </c>
      <c r="T22" s="59">
        <f t="shared" si="7"/>
        <v>590912</v>
      </c>
      <c r="U22" s="56">
        <f t="shared" si="8"/>
        <v>677742842</v>
      </c>
      <c r="V22" s="42"/>
      <c r="W22" s="37" t="s">
        <v>47</v>
      </c>
      <c r="X22" s="44" t="s">
        <v>47</v>
      </c>
      <c r="Y22" s="50">
        <f t="shared" ref="Y22" si="13">ROUND(T22/U22,5)</f>
        <v>8.7000000000000001E-4</v>
      </c>
      <c r="Z22" s="62"/>
    </row>
    <row r="23" spans="1:27" x14ac:dyDescent="0.3">
      <c r="A23" s="51" t="s">
        <v>75</v>
      </c>
      <c r="B23" s="36" t="s">
        <v>118</v>
      </c>
      <c r="C23" s="38" t="s">
        <v>70</v>
      </c>
      <c r="D23" s="52">
        <f>'[1]GSCU-1 &amp; SL-2'!$Q$69</f>
        <v>0.94284877388354726</v>
      </c>
      <c r="E23" s="53">
        <f>SUM('[6]Forecast Summary by Rate Code'!$CH$33:$CS$33)+SUM('[6]Forecast Summary by Rate Code'!$CH$13:$CS$13)</f>
        <v>106037921</v>
      </c>
      <c r="F23" s="54">
        <f t="shared" si="9"/>
        <v>12839</v>
      </c>
      <c r="G23" s="55">
        <f>[5]LLS_12CP_Demand_Losses_by_Rate!$C$68</f>
        <v>1.0646691338092202</v>
      </c>
      <c r="H23" s="55">
        <f>[5]LLS_Energy_Losses_by_Rate_Clas!$C$67</f>
        <v>1.0486554726996764</v>
      </c>
      <c r="I23" s="56">
        <f t="shared" si="1"/>
        <v>111197246.17034595</v>
      </c>
      <c r="J23" s="56">
        <f t="shared" si="2"/>
        <v>13669.287008976578</v>
      </c>
      <c r="K23" s="57">
        <f t="shared" si="3"/>
        <v>9.7852808646400717E-4</v>
      </c>
      <c r="L23" s="41">
        <f t="shared" si="4"/>
        <v>6.7342357335468722E-4</v>
      </c>
      <c r="M23" s="36"/>
      <c r="N23" s="38" t="s">
        <v>71</v>
      </c>
      <c r="O23" s="58" t="s">
        <v>86</v>
      </c>
      <c r="P23" s="41">
        <f t="shared" si="0"/>
        <v>9.7852808646400717E-4</v>
      </c>
      <c r="Q23" s="41">
        <f t="shared" si="0"/>
        <v>6.7342357335468722E-4</v>
      </c>
      <c r="R23" s="59">
        <f t="shared" si="5"/>
        <v>69266</v>
      </c>
      <c r="S23" s="59">
        <f t="shared" si="6"/>
        <v>143007</v>
      </c>
      <c r="T23" s="59">
        <f t="shared" si="7"/>
        <v>212273</v>
      </c>
      <c r="U23" s="56">
        <f t="shared" si="8"/>
        <v>106037921</v>
      </c>
      <c r="V23" s="42"/>
      <c r="W23" s="37" t="s">
        <v>47</v>
      </c>
      <c r="X23" s="44" t="s">
        <v>47</v>
      </c>
      <c r="Y23" s="50">
        <f>ROUND(T23/U23,5)</f>
        <v>2E-3</v>
      </c>
      <c r="Z23" s="62"/>
    </row>
    <row r="24" spans="1:27" x14ac:dyDescent="0.3">
      <c r="B24" s="36"/>
      <c r="C24" s="36"/>
      <c r="D24" s="45"/>
      <c r="E24" s="4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47"/>
      <c r="T24" s="36"/>
      <c r="U24" s="36"/>
      <c r="V24" s="36"/>
      <c r="W24" s="36"/>
      <c r="X24" s="48"/>
      <c r="Y24" s="40"/>
    </row>
    <row r="25" spans="1:27" x14ac:dyDescent="0.3">
      <c r="B25" s="36"/>
      <c r="C25" s="38" t="s">
        <v>72</v>
      </c>
      <c r="D25" s="36"/>
      <c r="E25" s="56">
        <f>SUM(E10:E23)</f>
        <v>108471946007</v>
      </c>
      <c r="F25" s="56">
        <f>SUM(F10:F23)</f>
        <v>19084045</v>
      </c>
      <c r="G25" s="36"/>
      <c r="H25" s="36"/>
      <c r="I25" s="56">
        <f>SUM(I10:I23)</f>
        <v>113637255494.79778</v>
      </c>
      <c r="J25" s="56">
        <f>SUM(J10:J23)</f>
        <v>20298200.938946143</v>
      </c>
      <c r="K25" s="64">
        <f>SUM(K10:K23)</f>
        <v>1.0000000000000002</v>
      </c>
      <c r="L25" s="64">
        <f>SUM(L10:L23)</f>
        <v>0.99999999999999956</v>
      </c>
      <c r="M25" s="36"/>
      <c r="N25" s="38" t="s">
        <v>72</v>
      </c>
      <c r="O25" s="38"/>
      <c r="P25" s="36"/>
      <c r="Q25" s="36"/>
      <c r="R25" s="59">
        <f>SUM(R10:R23)</f>
        <v>70786040</v>
      </c>
      <c r="S25" s="59">
        <f>SUM(S10:S23)</f>
        <v>212358122</v>
      </c>
      <c r="T25" s="69">
        <f>[3]Summary!$B$25</f>
        <v>283144162.00660276</v>
      </c>
      <c r="U25" s="56">
        <f>SUM(U10:U23)</f>
        <v>108471946007</v>
      </c>
      <c r="V25" s="36"/>
      <c r="W25" s="56">
        <f>SUM(W10:W23)</f>
        <v>111727787</v>
      </c>
      <c r="X25" s="48"/>
      <c r="Y25" s="50"/>
    </row>
    <row r="27" spans="1:27" hidden="1" x14ac:dyDescent="0.3">
      <c r="C27" s="51" t="s">
        <v>64</v>
      </c>
    </row>
    <row r="28" spans="1:27" hidden="1" x14ac:dyDescent="0.3">
      <c r="C28" s="51" t="s">
        <v>73</v>
      </c>
    </row>
    <row r="29" spans="1:27" hidden="1" x14ac:dyDescent="0.3">
      <c r="C29" s="51" t="s">
        <v>66</v>
      </c>
    </row>
    <row r="30" spans="1:27" hidden="1" x14ac:dyDescent="0.3">
      <c r="C30" s="51" t="s">
        <v>74</v>
      </c>
    </row>
    <row r="31" spans="1:27" hidden="1" x14ac:dyDescent="0.3">
      <c r="C31" s="51" t="s">
        <v>51</v>
      </c>
    </row>
    <row r="32" spans="1:27" hidden="1" x14ac:dyDescent="0.3">
      <c r="C32" s="51" t="s">
        <v>55</v>
      </c>
    </row>
    <row r="33" spans="3:20" hidden="1" x14ac:dyDescent="0.3">
      <c r="C33" s="51" t="s">
        <v>57</v>
      </c>
    </row>
    <row r="34" spans="3:20" hidden="1" x14ac:dyDescent="0.3">
      <c r="C34" s="51" t="s">
        <v>60</v>
      </c>
    </row>
    <row r="35" spans="3:20" hidden="1" x14ac:dyDescent="0.3">
      <c r="C35" s="51" t="s">
        <v>48</v>
      </c>
    </row>
    <row r="36" spans="3:20" hidden="1" x14ac:dyDescent="0.3">
      <c r="C36" s="51" t="s">
        <v>68</v>
      </c>
    </row>
    <row r="37" spans="3:20" hidden="1" x14ac:dyDescent="0.3">
      <c r="C37" s="51" t="s">
        <v>1</v>
      </c>
    </row>
    <row r="38" spans="3:20" hidden="1" x14ac:dyDescent="0.3">
      <c r="C38" s="51" t="s">
        <v>53</v>
      </c>
    </row>
    <row r="39" spans="3:20" hidden="1" x14ac:dyDescent="0.3">
      <c r="C39" s="51" t="s">
        <v>45</v>
      </c>
    </row>
    <row r="40" spans="3:20" hidden="1" x14ac:dyDescent="0.3">
      <c r="C40" s="51" t="s">
        <v>0</v>
      </c>
    </row>
    <row r="41" spans="3:20" hidden="1" x14ac:dyDescent="0.3">
      <c r="C41" s="51" t="s">
        <v>75</v>
      </c>
    </row>
    <row r="42" spans="3:20" x14ac:dyDescent="0.3">
      <c r="F42" s="65"/>
      <c r="T42" s="59"/>
    </row>
    <row r="44" spans="3:20" x14ac:dyDescent="0.3">
      <c r="T44" s="67"/>
    </row>
  </sheetData>
  <pageMargins left="0.7" right="0.7" top="0.75" bottom="0.75" header="0.3" footer="0.3"/>
  <pageSetup scale="90" orientation="landscape" r:id="rId1"/>
  <colBreaks count="2" manualBreakCount="2">
    <brk id="12" max="1048575" man="1"/>
    <brk id="21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4"/>
  <sheetViews>
    <sheetView topLeftCell="O1" zoomScaleNormal="100" workbookViewId="0">
      <selection activeCell="O2" sqref="O1:O2"/>
    </sheetView>
  </sheetViews>
  <sheetFormatPr defaultColWidth="9.109375" defaultRowHeight="13.8" x14ac:dyDescent="0.3"/>
  <cols>
    <col min="1" max="1" width="8.44140625" style="51" bestFit="1" customWidth="1"/>
    <col min="2" max="2" width="15.33203125" style="51" bestFit="1" customWidth="1"/>
    <col min="3" max="3" width="39.109375" style="51" bestFit="1" customWidth="1"/>
    <col min="4" max="4" width="10.109375" style="51" bestFit="1" customWidth="1"/>
    <col min="5" max="5" width="15" style="51" bestFit="1" customWidth="1"/>
    <col min="6" max="6" width="10.44140625" style="51" bestFit="1" customWidth="1"/>
    <col min="7" max="8" width="11" style="51" bestFit="1" customWidth="1"/>
    <col min="9" max="9" width="15" style="51" bestFit="1" customWidth="1"/>
    <col min="10" max="10" width="11.6640625" style="51" bestFit="1" customWidth="1"/>
    <col min="11" max="11" width="9.6640625" style="51" bestFit="1" customWidth="1"/>
    <col min="12" max="12" width="11.44140625" style="51" bestFit="1" customWidth="1"/>
    <col min="13" max="13" width="4.6640625" style="51" customWidth="1"/>
    <col min="14" max="14" width="39.109375" style="51" bestFit="1" customWidth="1"/>
    <col min="15" max="15" width="35.109375" style="51" bestFit="1" customWidth="1"/>
    <col min="16" max="16" width="9.6640625" style="51" bestFit="1" customWidth="1"/>
    <col min="17" max="18" width="11.44140625" style="51" bestFit="1" customWidth="1"/>
    <col min="19" max="19" width="12.44140625" style="51" bestFit="1" customWidth="1"/>
    <col min="20" max="20" width="15.5546875" style="51" bestFit="1" customWidth="1"/>
    <col min="21" max="21" width="15" style="51" bestFit="1" customWidth="1"/>
    <col min="22" max="22" width="10.109375" style="51" bestFit="1" customWidth="1"/>
    <col min="23" max="23" width="11.44140625" style="51" bestFit="1" customWidth="1"/>
    <col min="24" max="24" width="8" style="51" bestFit="1" customWidth="1"/>
    <col min="25" max="25" width="9" style="51" bestFit="1" customWidth="1"/>
    <col min="26" max="27" width="7" style="51" bestFit="1" customWidth="1"/>
    <col min="28" max="16384" width="9.109375" style="51"/>
  </cols>
  <sheetData>
    <row r="1" spans="1:27" x14ac:dyDescent="0.3">
      <c r="O1" s="73" t="s">
        <v>125</v>
      </c>
    </row>
    <row r="2" spans="1:27" x14ac:dyDescent="0.3">
      <c r="O2" s="73" t="s">
        <v>120</v>
      </c>
    </row>
    <row r="4" spans="1:27" x14ac:dyDescent="0.3">
      <c r="B4" s="36"/>
      <c r="C4" s="36"/>
      <c r="D4" s="37" t="s">
        <v>2</v>
      </c>
      <c r="E4" s="37" t="s">
        <v>3</v>
      </c>
      <c r="F4" s="37" t="s">
        <v>4</v>
      </c>
      <c r="G4" s="37" t="s">
        <v>5</v>
      </c>
      <c r="H4" s="37" t="s">
        <v>6</v>
      </c>
      <c r="I4" s="37" t="s">
        <v>7</v>
      </c>
      <c r="J4" s="37" t="s">
        <v>8</v>
      </c>
      <c r="K4" s="37" t="s">
        <v>9</v>
      </c>
      <c r="L4" s="37" t="s">
        <v>10</v>
      </c>
      <c r="M4" s="36"/>
      <c r="N4" s="36"/>
      <c r="O4" s="36"/>
      <c r="P4" s="37" t="s">
        <v>2</v>
      </c>
      <c r="Q4" s="37" t="s">
        <v>3</v>
      </c>
      <c r="R4" s="37" t="s">
        <v>4</v>
      </c>
      <c r="S4" s="37" t="s">
        <v>5</v>
      </c>
      <c r="T4" s="37" t="s">
        <v>6</v>
      </c>
      <c r="U4" s="37" t="s">
        <v>7</v>
      </c>
      <c r="V4" s="37" t="s">
        <v>8</v>
      </c>
      <c r="W4" s="37" t="s">
        <v>9</v>
      </c>
      <c r="X4" s="37" t="s">
        <v>10</v>
      </c>
      <c r="Y4" s="37" t="s">
        <v>11</v>
      </c>
    </row>
    <row r="5" spans="1:27" x14ac:dyDescent="0.3">
      <c r="B5" s="36"/>
      <c r="C5" s="36"/>
      <c r="D5" s="37" t="s">
        <v>12</v>
      </c>
      <c r="E5" s="37" t="s">
        <v>13</v>
      </c>
      <c r="F5" s="37" t="s">
        <v>13</v>
      </c>
      <c r="G5" s="37" t="s">
        <v>14</v>
      </c>
      <c r="H5" s="37" t="s">
        <v>15</v>
      </c>
      <c r="I5" s="37" t="s">
        <v>13</v>
      </c>
      <c r="J5" s="37" t="s">
        <v>13</v>
      </c>
      <c r="K5" s="37" t="s">
        <v>16</v>
      </c>
      <c r="L5" s="37" t="s">
        <v>16</v>
      </c>
      <c r="M5" s="36"/>
      <c r="N5" s="36"/>
      <c r="O5" s="36"/>
      <c r="P5" s="37" t="s">
        <v>16</v>
      </c>
      <c r="Q5" s="37" t="s">
        <v>16</v>
      </c>
      <c r="R5" s="37" t="s">
        <v>15</v>
      </c>
      <c r="S5" s="37" t="s">
        <v>14</v>
      </c>
      <c r="T5" s="37" t="s">
        <v>17</v>
      </c>
      <c r="U5" s="37" t="s">
        <v>13</v>
      </c>
      <c r="V5" s="37" t="s">
        <v>18</v>
      </c>
      <c r="W5" s="37" t="s">
        <v>19</v>
      </c>
      <c r="X5" s="37" t="s">
        <v>20</v>
      </c>
      <c r="Y5" s="37" t="s">
        <v>20</v>
      </c>
    </row>
    <row r="6" spans="1:27" x14ac:dyDescent="0.3">
      <c r="B6" s="36"/>
      <c r="C6" s="38" t="s">
        <v>21</v>
      </c>
      <c r="D6" s="37" t="s">
        <v>22</v>
      </c>
      <c r="E6" s="37" t="s">
        <v>23</v>
      </c>
      <c r="F6" s="37" t="s">
        <v>24</v>
      </c>
      <c r="G6" s="37" t="s">
        <v>25</v>
      </c>
      <c r="H6" s="37" t="s">
        <v>25</v>
      </c>
      <c r="I6" s="37" t="s">
        <v>23</v>
      </c>
      <c r="J6" s="37" t="s">
        <v>24</v>
      </c>
      <c r="K6" s="37" t="s">
        <v>26</v>
      </c>
      <c r="L6" s="37" t="s">
        <v>27</v>
      </c>
      <c r="M6" s="36"/>
      <c r="N6" s="38" t="s">
        <v>21</v>
      </c>
      <c r="O6" s="38"/>
      <c r="P6" s="37" t="s">
        <v>26</v>
      </c>
      <c r="Q6" s="37" t="s">
        <v>27</v>
      </c>
      <c r="R6" s="37" t="s">
        <v>28</v>
      </c>
      <c r="S6" s="37" t="s">
        <v>28</v>
      </c>
      <c r="T6" s="37" t="s">
        <v>20</v>
      </c>
      <c r="U6" s="37" t="s">
        <v>23</v>
      </c>
      <c r="V6" s="37" t="s">
        <v>22</v>
      </c>
      <c r="W6" s="37" t="s">
        <v>29</v>
      </c>
      <c r="X6" s="37" t="s">
        <v>30</v>
      </c>
      <c r="Y6" s="37" t="s">
        <v>30</v>
      </c>
    </row>
    <row r="7" spans="1:27" x14ac:dyDescent="0.3">
      <c r="B7" s="36"/>
      <c r="C7" s="36"/>
      <c r="D7" s="37" t="s">
        <v>31</v>
      </c>
      <c r="E7" s="37" t="s">
        <v>32</v>
      </c>
      <c r="F7" s="37" t="s">
        <v>31</v>
      </c>
      <c r="G7" s="37" t="s">
        <v>33</v>
      </c>
      <c r="H7" s="37" t="s">
        <v>33</v>
      </c>
      <c r="I7" s="37" t="s">
        <v>34</v>
      </c>
      <c r="J7" s="37" t="s">
        <v>35</v>
      </c>
      <c r="K7" s="37" t="s">
        <v>34</v>
      </c>
      <c r="L7" s="37" t="s">
        <v>34</v>
      </c>
      <c r="M7" s="36"/>
      <c r="N7" s="36"/>
      <c r="O7" s="36"/>
      <c r="P7" s="37" t="s">
        <v>34</v>
      </c>
      <c r="Q7" s="37" t="s">
        <v>34</v>
      </c>
      <c r="R7" s="36"/>
      <c r="S7" s="36"/>
      <c r="T7" s="37" t="s">
        <v>36</v>
      </c>
      <c r="U7" s="37" t="s">
        <v>32</v>
      </c>
      <c r="V7" s="40"/>
      <c r="W7" s="37" t="s">
        <v>31</v>
      </c>
      <c r="X7" s="37" t="s">
        <v>37</v>
      </c>
      <c r="Y7" s="37" t="s">
        <v>37</v>
      </c>
      <c r="Z7" s="37" t="s">
        <v>111</v>
      </c>
      <c r="AA7" s="37" t="s">
        <v>112</v>
      </c>
    </row>
    <row r="8" spans="1:27" x14ac:dyDescent="0.3">
      <c r="B8" s="36"/>
      <c r="C8" s="36"/>
      <c r="D8" s="37" t="s">
        <v>38</v>
      </c>
      <c r="E8" s="37" t="s">
        <v>39</v>
      </c>
      <c r="F8" s="37" t="s">
        <v>40</v>
      </c>
      <c r="G8" s="37" t="s">
        <v>37</v>
      </c>
      <c r="H8" s="37" t="s">
        <v>37</v>
      </c>
      <c r="I8" s="37" t="s">
        <v>39</v>
      </c>
      <c r="J8" s="37" t="s">
        <v>40</v>
      </c>
      <c r="K8" s="37" t="s">
        <v>38</v>
      </c>
      <c r="L8" s="37" t="s">
        <v>38</v>
      </c>
      <c r="M8" s="36"/>
      <c r="N8" s="36"/>
      <c r="O8" s="36"/>
      <c r="P8" s="37" t="s">
        <v>38</v>
      </c>
      <c r="Q8" s="37" t="s">
        <v>38</v>
      </c>
      <c r="R8" s="37" t="s">
        <v>41</v>
      </c>
      <c r="S8" s="37" t="s">
        <v>41</v>
      </c>
      <c r="T8" s="37" t="s">
        <v>41</v>
      </c>
      <c r="U8" s="37" t="s">
        <v>39</v>
      </c>
      <c r="V8" s="37" t="s">
        <v>38</v>
      </c>
      <c r="W8" s="37" t="s">
        <v>42</v>
      </c>
      <c r="X8" s="37" t="s">
        <v>43</v>
      </c>
      <c r="Y8" s="37" t="s">
        <v>44</v>
      </c>
      <c r="Z8" s="37" t="s">
        <v>44</v>
      </c>
      <c r="AA8" s="37" t="s">
        <v>44</v>
      </c>
    </row>
    <row r="9" spans="1:27" x14ac:dyDescent="0.3"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</row>
    <row r="10" spans="1:27" x14ac:dyDescent="0.3">
      <c r="A10" s="51" t="s">
        <v>45</v>
      </c>
      <c r="B10" s="36" t="s">
        <v>45</v>
      </c>
      <c r="C10" s="38" t="s">
        <v>46</v>
      </c>
      <c r="D10" s="52">
        <f>'[1]RS(T)-1'!$Q$68</f>
        <v>0.58600543495497959</v>
      </c>
      <c r="E10" s="31">
        <f>SUM('[7]Forecast Summary by Rate Code'!$CT$29:$DE$29)</f>
        <v>58440270496</v>
      </c>
      <c r="F10" s="54">
        <f>ROUND(E10/(8760*D10),0)</f>
        <v>11384304</v>
      </c>
      <c r="G10" s="55">
        <f>[5]LLS_12CP_Demand_Losses_by_Rate!$C$60</f>
        <v>1.0646691328274209</v>
      </c>
      <c r="H10" s="55">
        <f>[5]LLS_Energy_Losses_by_Rate_Clas!$C$59</f>
        <v>1.0486554726996764</v>
      </c>
      <c r="I10" s="56">
        <f>E10*H10</f>
        <v>61283709481.679832</v>
      </c>
      <c r="J10" s="56">
        <f>F10*G10</f>
        <v>12120517.06752374</v>
      </c>
      <c r="K10" s="57">
        <f>I10/$I$25</f>
        <v>0.53359134492252769</v>
      </c>
      <c r="L10" s="41">
        <f>J10/$J$25</f>
        <v>0.59068900477059183</v>
      </c>
      <c r="M10" s="36"/>
      <c r="N10" s="38" t="s">
        <v>46</v>
      </c>
      <c r="O10" s="58" t="s">
        <v>45</v>
      </c>
      <c r="P10" s="41">
        <f t="shared" ref="P10:Q23" si="0">K10</f>
        <v>0.53359134492252769</v>
      </c>
      <c r="Q10" s="41">
        <f t="shared" si="0"/>
        <v>0.59068900477059183</v>
      </c>
      <c r="R10" s="59">
        <f>ROUND(+P10*($T$25*0.25),0)</f>
        <v>36297887</v>
      </c>
      <c r="S10" s="59">
        <f>ROUND(+Q10*($T$25*0.75),0)</f>
        <v>120545974</v>
      </c>
      <c r="T10" s="59">
        <f>R10+S10</f>
        <v>156843861</v>
      </c>
      <c r="U10" s="56">
        <f>E10</f>
        <v>58440270496</v>
      </c>
      <c r="V10" s="42"/>
      <c r="W10" s="37" t="s">
        <v>47</v>
      </c>
      <c r="X10" s="37" t="s">
        <v>47</v>
      </c>
      <c r="Y10" s="50">
        <f>ROUND(T10/U10,5)</f>
        <v>2.6800000000000001E-3</v>
      </c>
    </row>
    <row r="11" spans="1:27" x14ac:dyDescent="0.3">
      <c r="A11" s="51" t="s">
        <v>48</v>
      </c>
      <c r="B11" s="36" t="s">
        <v>48</v>
      </c>
      <c r="C11" s="38" t="s">
        <v>49</v>
      </c>
      <c r="D11" s="52">
        <f>'[1]GS(T)-1'!$Q$69</f>
        <v>0.6442654800125015</v>
      </c>
      <c r="E11" s="31">
        <f>SUM('[7]Forecast Summary by Rate Code'!$CT$11:$DE$11)</f>
        <v>6085932828</v>
      </c>
      <c r="F11" s="54">
        <f>ROUND(E11/(8760*D11),0)</f>
        <v>1078346</v>
      </c>
      <c r="G11" s="55">
        <f>[5]LLS_12CP_Demand_Losses_by_Rate!$C$18</f>
        <v>1.0646691322160158</v>
      </c>
      <c r="H11" s="55">
        <f>[5]LLS_Energy_Losses_by_Rate_Clas!$C$18</f>
        <v>1.0486554726996764</v>
      </c>
      <c r="I11" s="56">
        <f t="shared" ref="I11:I23" si="1">E11*H11</f>
        <v>6382046766.5648184</v>
      </c>
      <c r="J11" s="56">
        <f t="shared" ref="J11:J23" si="2">F11*G11</f>
        <v>1148081.7000486117</v>
      </c>
      <c r="K11" s="57">
        <f t="shared" ref="K11:K23" si="3">I11/$I$25</f>
        <v>5.5567865364739434E-2</v>
      </c>
      <c r="L11" s="41">
        <f t="shared" ref="L11:L23" si="4">J11/$J$25</f>
        <v>5.5951345393847426E-2</v>
      </c>
      <c r="M11" s="36"/>
      <c r="N11" s="38" t="s">
        <v>50</v>
      </c>
      <c r="O11" s="58" t="s">
        <v>48</v>
      </c>
      <c r="P11" s="41">
        <f t="shared" si="0"/>
        <v>5.5567865364739434E-2</v>
      </c>
      <c r="Q11" s="41">
        <f t="shared" si="0"/>
        <v>5.5951345393847426E-2</v>
      </c>
      <c r="R11" s="59">
        <f t="shared" ref="R11:R23" si="5">ROUND(+P11*($T$25*0.25),0)</f>
        <v>3780039</v>
      </c>
      <c r="S11" s="59">
        <f t="shared" ref="S11:S23" si="6">ROUND(+Q11*($T$25*0.75),0)</f>
        <v>11418376</v>
      </c>
      <c r="T11" s="59">
        <f t="shared" ref="T11:T23" si="7">R11+S11</f>
        <v>15198415</v>
      </c>
      <c r="U11" s="56">
        <f t="shared" ref="U11:U23" si="8">E11</f>
        <v>6085932828</v>
      </c>
      <c r="V11" s="42"/>
      <c r="W11" s="37" t="s">
        <v>47</v>
      </c>
      <c r="X11" s="44" t="s">
        <v>47</v>
      </c>
      <c r="Y11" s="50">
        <f>ROUND(T11/U11,5)</f>
        <v>2.5000000000000001E-3</v>
      </c>
    </row>
    <row r="12" spans="1:27" x14ac:dyDescent="0.3">
      <c r="A12" s="51" t="s">
        <v>51</v>
      </c>
      <c r="B12" s="36" t="s">
        <v>51</v>
      </c>
      <c r="C12" s="38" t="s">
        <v>52</v>
      </c>
      <c r="D12" s="52">
        <f>'[1]GSD(T)-1'!$Q$69</f>
        <v>0.72095715928252913</v>
      </c>
      <c r="E12" s="31">
        <f>SUM('[7]Forecast Summary by Rate Code'!$CT$15:$DE$15)</f>
        <v>26303800774</v>
      </c>
      <c r="F12" s="54">
        <f t="shared" ref="F12:F23" si="9">ROUND(E12/(8760*D12),0)</f>
        <v>4164903</v>
      </c>
      <c r="G12" s="55">
        <f>[5]LLS_12CP_Demand_Losses_by_Rate!$C$27</f>
        <v>1.0645832438034282</v>
      </c>
      <c r="H12" s="55">
        <f>[5]LLS_Energy_Losses_by_Rate_Clas!$C$27</f>
        <v>1.0485916395184989</v>
      </c>
      <c r="I12" s="56">
        <f t="shared" si="1"/>
        <v>27581945579.17662</v>
      </c>
      <c r="J12" s="56">
        <f t="shared" si="2"/>
        <v>4433885.9458666295</v>
      </c>
      <c r="K12" s="57">
        <f t="shared" si="3"/>
        <v>0.24015333865474428</v>
      </c>
      <c r="L12" s="41">
        <f t="shared" si="4"/>
        <v>0.21608382398535356</v>
      </c>
      <c r="M12" s="36"/>
      <c r="N12" s="38" t="s">
        <v>52</v>
      </c>
      <c r="O12" s="60" t="s">
        <v>78</v>
      </c>
      <c r="P12" s="41">
        <f t="shared" si="0"/>
        <v>0.24015333865474428</v>
      </c>
      <c r="Q12" s="41">
        <f t="shared" si="0"/>
        <v>0.21608382398535356</v>
      </c>
      <c r="R12" s="59">
        <f t="shared" si="5"/>
        <v>16336582</v>
      </c>
      <c r="S12" s="59">
        <f t="shared" si="6"/>
        <v>44097714</v>
      </c>
      <c r="T12" s="59">
        <f t="shared" si="7"/>
        <v>60434296</v>
      </c>
      <c r="U12" s="56">
        <f t="shared" si="8"/>
        <v>26303800774</v>
      </c>
      <c r="V12" s="41">
        <f>+VLOOKUP($O12,'2018 Clause Allocations'!A14:H27,8,FALSE)</f>
        <v>0.50155091654498307</v>
      </c>
      <c r="W12" s="61">
        <f>ROUND(U12/(V12*730),0)</f>
        <v>71842365</v>
      </c>
      <c r="X12" s="48">
        <f>ROUND(T12/W12,2)</f>
        <v>0.84</v>
      </c>
      <c r="Y12" s="37" t="s">
        <v>47</v>
      </c>
      <c r="Z12" s="62"/>
      <c r="AA12" s="63"/>
    </row>
    <row r="13" spans="1:27" x14ac:dyDescent="0.3">
      <c r="A13" s="51" t="s">
        <v>53</v>
      </c>
      <c r="B13" s="36" t="s">
        <v>53</v>
      </c>
      <c r="C13" s="38" t="s">
        <v>54</v>
      </c>
      <c r="D13" s="52">
        <f>'[1]OS-2'!$Q$68</f>
        <v>0.91441212893786994</v>
      </c>
      <c r="E13" s="31">
        <f>SUM('[7]Forecast Summary by Rate Code'!$CT$27:$DE$27)</f>
        <v>10731982</v>
      </c>
      <c r="F13" s="54">
        <f t="shared" si="9"/>
        <v>1340</v>
      </c>
      <c r="G13" s="55">
        <f>[5]LLS_12CP_Demand_Losses_by_Rate!$C$54</f>
        <v>1.0571766406453194</v>
      </c>
      <c r="H13" s="55">
        <f>[5]LLS_Energy_Losses_by_Rate_Clas!$C$53</f>
        <v>1.0266324251987167</v>
      </c>
      <c r="I13" s="56">
        <f t="shared" si="1"/>
        <v>11017800.707848974</v>
      </c>
      <c r="J13" s="56">
        <f t="shared" si="2"/>
        <v>1416.616698464728</v>
      </c>
      <c r="K13" s="57">
        <f t="shared" si="3"/>
        <v>9.5930927607229484E-5</v>
      </c>
      <c r="L13" s="41">
        <f t="shared" si="4"/>
        <v>6.9038301179380994E-5</v>
      </c>
      <c r="M13" s="36"/>
      <c r="N13" s="38" t="s">
        <v>54</v>
      </c>
      <c r="O13" s="58" t="s">
        <v>53</v>
      </c>
      <c r="P13" s="41">
        <f t="shared" si="0"/>
        <v>9.5930927607229484E-5</v>
      </c>
      <c r="Q13" s="41">
        <f t="shared" si="0"/>
        <v>6.9038301179380994E-5</v>
      </c>
      <c r="R13" s="59">
        <f t="shared" si="5"/>
        <v>6526</v>
      </c>
      <c r="S13" s="59">
        <f t="shared" si="6"/>
        <v>14089</v>
      </c>
      <c r="T13" s="59">
        <f t="shared" si="7"/>
        <v>20615</v>
      </c>
      <c r="U13" s="56">
        <f t="shared" si="8"/>
        <v>10731982</v>
      </c>
      <c r="V13" s="41"/>
      <c r="W13" s="61"/>
      <c r="X13" s="44" t="s">
        <v>47</v>
      </c>
      <c r="Y13" s="50">
        <f>ROUND(T13/U13,5)</f>
        <v>1.92E-3</v>
      </c>
      <c r="Z13" s="62"/>
      <c r="AA13" s="68"/>
    </row>
    <row r="14" spans="1:27" x14ac:dyDescent="0.3">
      <c r="A14" s="51" t="s">
        <v>55</v>
      </c>
      <c r="B14" s="36" t="s">
        <v>55</v>
      </c>
      <c r="C14" s="38" t="s">
        <v>56</v>
      </c>
      <c r="D14" s="52">
        <f>'[1]GSLD(T)-1'!$Q$68</f>
        <v>0.72584879896509791</v>
      </c>
      <c r="E14" s="31">
        <f>SUM('[7]Forecast Summary by Rate Code'!$CT$17:$DE$17)</f>
        <v>10711232894</v>
      </c>
      <c r="F14" s="54">
        <f t="shared" si="9"/>
        <v>1684571</v>
      </c>
      <c r="G14" s="55">
        <f>[5]LLS_12CP_Demand_Losses_by_Rate!$C$32</f>
        <v>1.0634959822708607</v>
      </c>
      <c r="H14" s="55">
        <f>[5]LLS_Energy_Losses_by_Rate_Clas!$C$32</f>
        <v>1.04780936213973</v>
      </c>
      <c r="I14" s="56">
        <f t="shared" si="1"/>
        <v>11223330106.392235</v>
      </c>
      <c r="J14" s="56">
        <f t="shared" si="2"/>
        <v>1791534.4903500061</v>
      </c>
      <c r="K14" s="57">
        <f t="shared" si="3"/>
        <v>9.7720452247910733E-2</v>
      </c>
      <c r="L14" s="41">
        <f t="shared" si="4"/>
        <v>8.730978383360638E-2</v>
      </c>
      <c r="M14" s="36"/>
      <c r="N14" s="38" t="s">
        <v>56</v>
      </c>
      <c r="O14" s="60" t="s">
        <v>79</v>
      </c>
      <c r="P14" s="41">
        <f t="shared" si="0"/>
        <v>9.7720452247910733E-2</v>
      </c>
      <c r="Q14" s="41">
        <f t="shared" si="0"/>
        <v>8.730978383360638E-2</v>
      </c>
      <c r="R14" s="59">
        <f t="shared" si="5"/>
        <v>6647495</v>
      </c>
      <c r="S14" s="59">
        <f t="shared" si="6"/>
        <v>17817909</v>
      </c>
      <c r="T14" s="59">
        <f t="shared" si="7"/>
        <v>24465404</v>
      </c>
      <c r="U14" s="56">
        <f t="shared" si="8"/>
        <v>10711232894</v>
      </c>
      <c r="V14" s="41">
        <f>+VLOOKUP($O14,'2018 Clause Allocations'!A16:H29,8,FALSE)</f>
        <v>0.56712261429768029</v>
      </c>
      <c r="W14" s="61">
        <f t="shared" ref="W14:W21" si="10">ROUND(U14/(V14*730),0)</f>
        <v>25872574</v>
      </c>
      <c r="X14" s="48">
        <f t="shared" ref="X14:X16" si="11">ROUND(T14/W14,2)</f>
        <v>0.95</v>
      </c>
      <c r="Y14" s="37" t="s">
        <v>47</v>
      </c>
      <c r="Z14" s="62"/>
      <c r="AA14" s="63"/>
    </row>
    <row r="15" spans="1:27" x14ac:dyDescent="0.3">
      <c r="A15" s="51" t="s">
        <v>57</v>
      </c>
      <c r="B15" s="36" t="s">
        <v>57</v>
      </c>
      <c r="C15" s="38" t="s">
        <v>58</v>
      </c>
      <c r="D15" s="52">
        <f>'[1]GSLD(T)-2'!$Q$68</f>
        <v>0.86841877290340996</v>
      </c>
      <c r="E15" s="31">
        <f>SUM('[7]Forecast Summary by Rate Code'!$CT$19:$DE$19)</f>
        <v>2556310055</v>
      </c>
      <c r="F15" s="54">
        <f t="shared" si="9"/>
        <v>336032</v>
      </c>
      <c r="G15" s="55">
        <f>[5]LLS_12CP_Demand_Losses_by_Rate!$C$37</f>
        <v>1.0549746694884183</v>
      </c>
      <c r="H15" s="55">
        <f>[5]LLS_Energy_Losses_by_Rate_Clas!$C$37</f>
        <v>1.0411291709359818</v>
      </c>
      <c r="I15" s="56">
        <f t="shared" si="1"/>
        <v>2661448968.217464</v>
      </c>
      <c r="J15" s="56">
        <f t="shared" si="2"/>
        <v>354505.24813753221</v>
      </c>
      <c r="K15" s="57">
        <f t="shared" si="3"/>
        <v>2.3172979351361932E-2</v>
      </c>
      <c r="L15" s="41">
        <f t="shared" si="4"/>
        <v>1.7276684735620124E-2</v>
      </c>
      <c r="M15" s="36"/>
      <c r="N15" s="38" t="s">
        <v>59</v>
      </c>
      <c r="O15" s="60" t="s">
        <v>80</v>
      </c>
      <c r="P15" s="41">
        <f t="shared" si="0"/>
        <v>2.3172979351361932E-2</v>
      </c>
      <c r="Q15" s="41">
        <f t="shared" si="0"/>
        <v>1.7276684735620124E-2</v>
      </c>
      <c r="R15" s="59">
        <f t="shared" si="5"/>
        <v>1576357</v>
      </c>
      <c r="S15" s="59">
        <f t="shared" si="6"/>
        <v>3525772</v>
      </c>
      <c r="T15" s="59">
        <f t="shared" si="7"/>
        <v>5102129</v>
      </c>
      <c r="U15" s="56">
        <f t="shared" si="8"/>
        <v>2556310055</v>
      </c>
      <c r="V15" s="41">
        <f>+VLOOKUP($O15,'2018 Clause Allocations'!A17:H30,8,FALSE)</f>
        <v>0.65787943897492696</v>
      </c>
      <c r="W15" s="61">
        <f t="shared" si="10"/>
        <v>5322852</v>
      </c>
      <c r="X15" s="48">
        <f t="shared" si="11"/>
        <v>0.96</v>
      </c>
      <c r="Y15" s="37" t="s">
        <v>47</v>
      </c>
      <c r="Z15" s="62"/>
      <c r="AA15" s="63"/>
    </row>
    <row r="16" spans="1:27" x14ac:dyDescent="0.3">
      <c r="A16" s="51" t="s">
        <v>60</v>
      </c>
      <c r="B16" s="36" t="s">
        <v>60</v>
      </c>
      <c r="C16" s="38" t="s">
        <v>61</v>
      </c>
      <c r="D16" s="52">
        <f>'[1]GSLD(T)-3'!$Q$69</f>
        <v>0.85297493338993025</v>
      </c>
      <c r="E16" s="31">
        <f>SUM('[7]Forecast Summary by Rate Code'!$CT$21:$DE$21)</f>
        <v>179386360</v>
      </c>
      <c r="F16" s="54">
        <f>ROUND(E16/(8760*D16),0)</f>
        <v>24008</v>
      </c>
      <c r="G16" s="55">
        <f>[5]LLS_12CP_Demand_Losses_by_Rate!$C$41</f>
        <v>1.0219163653884258</v>
      </c>
      <c r="H16" s="55">
        <f>[5]LLS_Energy_Losses_by_Rate_Clas!$C$41</f>
        <v>1.0170123194074383</v>
      </c>
      <c r="I16" s="56">
        <f t="shared" si="1"/>
        <v>182438138.05365771</v>
      </c>
      <c r="J16" s="56">
        <f t="shared" si="2"/>
        <v>24534.168100245326</v>
      </c>
      <c r="K16" s="57">
        <f t="shared" si="3"/>
        <v>1.5884712637754745E-3</v>
      </c>
      <c r="L16" s="41">
        <f t="shared" si="4"/>
        <v>1.1956637870540194E-3</v>
      </c>
      <c r="M16" s="36"/>
      <c r="N16" s="38" t="s">
        <v>61</v>
      </c>
      <c r="O16" s="58" t="s">
        <v>81</v>
      </c>
      <c r="P16" s="41">
        <f t="shared" si="0"/>
        <v>1.5884712637754745E-3</v>
      </c>
      <c r="Q16" s="41">
        <f t="shared" si="0"/>
        <v>1.1956637870540194E-3</v>
      </c>
      <c r="R16" s="59">
        <f t="shared" si="5"/>
        <v>108057</v>
      </c>
      <c r="S16" s="59">
        <f t="shared" si="6"/>
        <v>244007</v>
      </c>
      <c r="T16" s="59">
        <f t="shared" si="7"/>
        <v>352064</v>
      </c>
      <c r="U16" s="56">
        <f t="shared" si="8"/>
        <v>179386360</v>
      </c>
      <c r="V16" s="41">
        <f>+VLOOKUP($O16,'2018 Clause Allocations'!A18:H31,8,FALSE)</f>
        <v>0.66110876141603681</v>
      </c>
      <c r="W16" s="61">
        <f t="shared" si="10"/>
        <v>371701</v>
      </c>
      <c r="X16" s="48">
        <f t="shared" si="11"/>
        <v>0.95</v>
      </c>
      <c r="Y16" s="37" t="s">
        <v>47</v>
      </c>
      <c r="Z16" s="62"/>
      <c r="AA16" s="63"/>
    </row>
    <row r="17" spans="1:27" x14ac:dyDescent="0.3">
      <c r="A17" s="51" t="s">
        <v>63</v>
      </c>
      <c r="B17" s="36" t="s">
        <v>83</v>
      </c>
      <c r="C17" s="38" t="s">
        <v>77</v>
      </c>
      <c r="D17" s="52">
        <f>'[1]SST-1D'!$Q$68</f>
        <v>0.7756741267446351</v>
      </c>
      <c r="E17" s="31">
        <f>SUM('[7]Forecast Summary by Rate Code'!$CT$35:$DE$35)</f>
        <v>11856926</v>
      </c>
      <c r="F17" s="54">
        <f t="shared" si="9"/>
        <v>1745</v>
      </c>
      <c r="G17" s="55">
        <f>[5]LLS_12CP_Demand_Losses_by_Rate!$C$72</f>
        <v>1.0348593807299622</v>
      </c>
      <c r="H17" s="55">
        <f>[5]LLS_Energy_Losses_by_Rate_Clas!$C$71</f>
        <v>1.0266324251987167</v>
      </c>
      <c r="I17" s="56">
        <f t="shared" si="1"/>
        <v>12172704.694781719</v>
      </c>
      <c r="J17" s="56">
        <f t="shared" si="2"/>
        <v>1805.829619373784</v>
      </c>
      <c r="K17" s="57">
        <f t="shared" si="3"/>
        <v>1.0598656517969161E-4</v>
      </c>
      <c r="L17" s="41">
        <f t="shared" si="4"/>
        <v>8.8006451763619675E-5</v>
      </c>
      <c r="M17" s="36"/>
      <c r="N17" s="38" t="s">
        <v>77</v>
      </c>
      <c r="O17" s="58" t="s">
        <v>83</v>
      </c>
      <c r="P17" s="41">
        <f t="shared" si="0"/>
        <v>1.0598656517969161E-4</v>
      </c>
      <c r="Q17" s="41">
        <f t="shared" si="0"/>
        <v>8.8006451763619675E-5</v>
      </c>
      <c r="R17" s="59">
        <f t="shared" si="5"/>
        <v>7210</v>
      </c>
      <c r="S17" s="59">
        <f t="shared" si="6"/>
        <v>17960</v>
      </c>
      <c r="T17" s="59">
        <f t="shared" si="7"/>
        <v>25170</v>
      </c>
      <c r="U17" s="56">
        <f t="shared" si="8"/>
        <v>11856926</v>
      </c>
      <c r="V17" s="41">
        <f>+VLOOKUP($O17,'2018 Clause Allocations'!A19:H32,8,FALSE)</f>
        <v>0.29683762187751556</v>
      </c>
      <c r="W17" s="61">
        <f t="shared" si="10"/>
        <v>54718</v>
      </c>
      <c r="X17" s="37" t="s">
        <v>47</v>
      </c>
      <c r="Y17" s="37" t="s">
        <v>47</v>
      </c>
      <c r="Z17" s="48">
        <f>ROUND(($T$25/$J$25*0.1*$G17)/12,2)</f>
        <v>0.11</v>
      </c>
      <c r="AA17" s="48">
        <f>ROUND(($T$25/$J$25/21*$G17)/12,2)</f>
        <v>0.05</v>
      </c>
    </row>
    <row r="18" spans="1:27" x14ac:dyDescent="0.3">
      <c r="A18" s="51" t="s">
        <v>62</v>
      </c>
      <c r="B18" s="36" t="s">
        <v>82</v>
      </c>
      <c r="C18" s="38" t="s">
        <v>76</v>
      </c>
      <c r="D18" s="52">
        <f>'[1]SST-1T'!$Q$68</f>
        <v>1.0642537654835582</v>
      </c>
      <c r="E18" s="31">
        <f>SUM('[7]Forecast Summary by Rate Code'!$CT$37:$DE$37)</f>
        <v>89667754</v>
      </c>
      <c r="F18" s="54">
        <f t="shared" si="9"/>
        <v>9618</v>
      </c>
      <c r="G18" s="55">
        <f>[5]LLS_12CP_Demand_Losses_by_Rate!$C$76</f>
        <v>1.0219163663347777</v>
      </c>
      <c r="H18" s="55">
        <f>[5]LLS_Energy_Losses_by_Rate_Clas!$C$75</f>
        <v>1.0170123194074383</v>
      </c>
      <c r="I18" s="56">
        <f t="shared" si="1"/>
        <v>91193210.4715956</v>
      </c>
      <c r="J18" s="56">
        <f t="shared" si="2"/>
        <v>9828.7916114078907</v>
      </c>
      <c r="K18" s="57">
        <f t="shared" si="3"/>
        <v>7.9401048394252694E-4</v>
      </c>
      <c r="L18" s="41">
        <f t="shared" si="4"/>
        <v>4.7900259557377142E-4</v>
      </c>
      <c r="M18" s="36"/>
      <c r="N18" s="38" t="s">
        <v>76</v>
      </c>
      <c r="O18" s="58" t="s">
        <v>82</v>
      </c>
      <c r="P18" s="41">
        <f t="shared" si="0"/>
        <v>7.9401048394252694E-4</v>
      </c>
      <c r="Q18" s="41">
        <f t="shared" si="0"/>
        <v>4.7900259557377142E-4</v>
      </c>
      <c r="R18" s="59">
        <f t="shared" si="5"/>
        <v>54013</v>
      </c>
      <c r="S18" s="59">
        <f t="shared" si="6"/>
        <v>97753</v>
      </c>
      <c r="T18" s="59">
        <f t="shared" si="7"/>
        <v>151766</v>
      </c>
      <c r="U18" s="56">
        <f t="shared" si="8"/>
        <v>89667754</v>
      </c>
      <c r="V18" s="41">
        <f>+VLOOKUP($O18,'2018 Clause Allocations'!A20:H33,8,FALSE)</f>
        <v>0.11319690656706886</v>
      </c>
      <c r="W18" s="61">
        <f t="shared" si="10"/>
        <v>1085123</v>
      </c>
      <c r="X18" s="37" t="s">
        <v>47</v>
      </c>
      <c r="Y18" s="37" t="s">
        <v>47</v>
      </c>
      <c r="Z18" s="48">
        <f>ROUND(($T$25/$J$25*0.1*$G18)/12,2)</f>
        <v>0.11</v>
      </c>
      <c r="AA18" s="48">
        <f>ROUND(($T$25/$J$25/21*$G18)/12,2)</f>
        <v>0.05</v>
      </c>
    </row>
    <row r="19" spans="1:27" x14ac:dyDescent="0.3">
      <c r="A19" s="51" t="s">
        <v>64</v>
      </c>
      <c r="B19" s="36" t="s">
        <v>116</v>
      </c>
      <c r="C19" s="38" t="s">
        <v>65</v>
      </c>
      <c r="D19" s="52">
        <f>'[1]CILC-1D &amp; CILC-1G'!$Q$69</f>
        <v>0.86503287752103508</v>
      </c>
      <c r="E19" s="31">
        <f>SUM('[7]Forecast Summary by Rate Code'!$CT$5:$DE$7)</f>
        <v>2789864163</v>
      </c>
      <c r="F19" s="54">
        <f t="shared" si="9"/>
        <v>368168</v>
      </c>
      <c r="G19" s="55">
        <f>[5]LLS_Demand_Losses_by_Rate_Grou!$E$5</f>
        <v>1.0533993357888443</v>
      </c>
      <c r="H19" s="55">
        <f>[5]LLS_Energy_Losses_by_Rate_Grou!$E$5</f>
        <v>1.0405293502860777</v>
      </c>
      <c r="I19" s="56">
        <f t="shared" si="1"/>
        <v>2902935544.9128022</v>
      </c>
      <c r="J19" s="56">
        <f t="shared" si="2"/>
        <v>387827.92665870721</v>
      </c>
      <c r="K19" s="57">
        <f t="shared" si="3"/>
        <v>2.5275579672547167E-2</v>
      </c>
      <c r="L19" s="41">
        <f t="shared" si="4"/>
        <v>1.8900653391602934E-2</v>
      </c>
      <c r="M19" s="36"/>
      <c r="N19" s="38" t="s">
        <v>65</v>
      </c>
      <c r="O19" s="58" t="s">
        <v>84</v>
      </c>
      <c r="P19" s="41">
        <f t="shared" si="0"/>
        <v>2.5275579672547167E-2</v>
      </c>
      <c r="Q19" s="41">
        <f t="shared" si="0"/>
        <v>1.8900653391602934E-2</v>
      </c>
      <c r="R19" s="59">
        <f t="shared" si="5"/>
        <v>1719387</v>
      </c>
      <c r="S19" s="59">
        <f t="shared" si="6"/>
        <v>3857187</v>
      </c>
      <c r="T19" s="59">
        <f t="shared" si="7"/>
        <v>5576574</v>
      </c>
      <c r="U19" s="56">
        <f t="shared" si="8"/>
        <v>2789864163</v>
      </c>
      <c r="V19" s="41">
        <f>+VLOOKUP($O19,'2018 Clause Allocations'!A21:H34,8,FALSE)</f>
        <v>0.74142942939728584</v>
      </c>
      <c r="W19" s="61">
        <f t="shared" si="10"/>
        <v>5154546</v>
      </c>
      <c r="X19" s="48">
        <f t="shared" ref="X19:X21" si="12">ROUND(T19/W19,2)</f>
        <v>1.08</v>
      </c>
      <c r="Y19" s="37" t="s">
        <v>47</v>
      </c>
      <c r="Z19" s="62"/>
      <c r="AA19" s="63"/>
    </row>
    <row r="20" spans="1:27" x14ac:dyDescent="0.3">
      <c r="A20" s="51" t="s">
        <v>66</v>
      </c>
      <c r="B20" s="36" t="s">
        <v>66</v>
      </c>
      <c r="C20" s="38" t="s">
        <v>67</v>
      </c>
      <c r="D20" s="52">
        <f>'[1]CILC-1T'!$Q$69</f>
        <v>0.90405436942759743</v>
      </c>
      <c r="E20" s="31">
        <f>SUM('[7]Forecast Summary by Rate Code'!$CT$9:$DE$9)</f>
        <v>1564963142</v>
      </c>
      <c r="F20" s="54">
        <f t="shared" si="9"/>
        <v>197608</v>
      </c>
      <c r="G20" s="55">
        <f>[5]LLS_12CP_Demand_Losses_by_Rate!$C$14</f>
        <v>1.0219163648227962</v>
      </c>
      <c r="H20" s="55">
        <f>[5]LLS_Energy_Losses_by_Rate_Clas!$C$14</f>
        <v>1.0170123194074383</v>
      </c>
      <c r="I20" s="56">
        <f t="shared" si="1"/>
        <v>1591586794.8325722</v>
      </c>
      <c r="J20" s="56">
        <f t="shared" si="2"/>
        <v>201938.84901990311</v>
      </c>
      <c r="K20" s="57">
        <f t="shared" si="3"/>
        <v>1.3857792643402639E-2</v>
      </c>
      <c r="L20" s="41">
        <f t="shared" si="4"/>
        <v>9.841416590361295E-3</v>
      </c>
      <c r="M20" s="36"/>
      <c r="N20" s="38" t="s">
        <v>67</v>
      </c>
      <c r="O20" s="58" t="s">
        <v>66</v>
      </c>
      <c r="P20" s="41">
        <f t="shared" si="0"/>
        <v>1.3857792643402639E-2</v>
      </c>
      <c r="Q20" s="41">
        <f t="shared" si="0"/>
        <v>9.841416590361295E-3</v>
      </c>
      <c r="R20" s="59">
        <f t="shared" si="5"/>
        <v>942685</v>
      </c>
      <c r="S20" s="59">
        <f t="shared" si="6"/>
        <v>2008406</v>
      </c>
      <c r="T20" s="59">
        <f t="shared" si="7"/>
        <v>2951091</v>
      </c>
      <c r="U20" s="56">
        <f t="shared" si="8"/>
        <v>1564963142</v>
      </c>
      <c r="V20" s="41">
        <f>+VLOOKUP($O20,'2018 Clause Allocations'!A21:H35,8,FALSE)</f>
        <v>0.76336433316576868</v>
      </c>
      <c r="W20" s="61">
        <f t="shared" si="10"/>
        <v>2808338</v>
      </c>
      <c r="X20" s="48">
        <f t="shared" si="12"/>
        <v>1.05</v>
      </c>
      <c r="Y20" s="37" t="s">
        <v>47</v>
      </c>
      <c r="Z20" s="62"/>
      <c r="AA20" s="63"/>
    </row>
    <row r="21" spans="1:27" x14ac:dyDescent="0.3">
      <c r="A21" s="51" t="s">
        <v>68</v>
      </c>
      <c r="B21" s="36" t="s">
        <v>68</v>
      </c>
      <c r="C21" s="38" t="s">
        <v>68</v>
      </c>
      <c r="D21" s="52">
        <f>[1]MET!$Q$68</f>
        <v>0.71006928440649986</v>
      </c>
      <c r="E21" s="31">
        <f>SUM('[7]Forecast Summary by Rate Code'!$CT$23:$DE$23)</f>
        <v>91232930</v>
      </c>
      <c r="F21" s="54">
        <f t="shared" si="9"/>
        <v>14667</v>
      </c>
      <c r="G21" s="55">
        <f>[5]LLS_12CP_Demand_Losses_by_Rate!$C$45</f>
        <v>1.0348593797787911</v>
      </c>
      <c r="H21" s="55">
        <f>[5]LLS_Energy_Losses_by_Rate_Clas!$C$45</f>
        <v>1.0266324251987167</v>
      </c>
      <c r="I21" s="56">
        <f t="shared" si="1"/>
        <v>93662684.183884755</v>
      </c>
      <c r="J21" s="56">
        <f t="shared" si="2"/>
        <v>15178.282523215528</v>
      </c>
      <c r="K21" s="57">
        <f t="shared" si="3"/>
        <v>8.1551195326505727E-4</v>
      </c>
      <c r="L21" s="41">
        <f t="shared" si="4"/>
        <v>7.3970809560493082E-4</v>
      </c>
      <c r="M21" s="36"/>
      <c r="N21" s="38" t="s">
        <v>68</v>
      </c>
      <c r="O21" s="58" t="s">
        <v>68</v>
      </c>
      <c r="P21" s="41">
        <f t="shared" si="0"/>
        <v>8.1551195326505727E-4</v>
      </c>
      <c r="Q21" s="41">
        <f t="shared" si="0"/>
        <v>7.3970809560493082E-4</v>
      </c>
      <c r="R21" s="59">
        <f t="shared" si="5"/>
        <v>55476</v>
      </c>
      <c r="S21" s="59">
        <f t="shared" si="6"/>
        <v>150957</v>
      </c>
      <c r="T21" s="59">
        <f t="shared" si="7"/>
        <v>206433</v>
      </c>
      <c r="U21" s="56">
        <f t="shared" si="8"/>
        <v>91232930</v>
      </c>
      <c r="V21" s="41">
        <f>+VLOOKUP($O21,'2018 Clause Allocations'!A23:H36,8,FALSE)</f>
        <v>0.64572858053338122</v>
      </c>
      <c r="W21" s="61">
        <f t="shared" si="10"/>
        <v>193544</v>
      </c>
      <c r="X21" s="48">
        <f t="shared" si="12"/>
        <v>1.07</v>
      </c>
      <c r="Y21" s="37" t="s">
        <v>47</v>
      </c>
      <c r="Z21" s="62"/>
      <c r="AA21" s="63"/>
    </row>
    <row r="22" spans="1:27" x14ac:dyDescent="0.3">
      <c r="A22" s="51" t="s">
        <v>0</v>
      </c>
      <c r="B22" s="36" t="s">
        <v>117</v>
      </c>
      <c r="C22" s="38" t="s">
        <v>69</v>
      </c>
      <c r="D22" s="52">
        <f>'[1]OL-1 &amp; SL-1'!$Q$68</f>
        <v>5.8150031949913128</v>
      </c>
      <c r="E22" s="31">
        <f>SUM('[7]Forecast Summary by Rate Code'!$CT$25:$DE$25)+SUM('[7]Forecast Summary by Rate Code'!$CT$31:$DE$31)</f>
        <v>687698248</v>
      </c>
      <c r="F22" s="54">
        <f t="shared" si="9"/>
        <v>13500</v>
      </c>
      <c r="G22" s="55">
        <f>[5]LLS_12CP_Demand_Losses_by_Rate!$C$49</f>
        <v>1.0646691330406721</v>
      </c>
      <c r="H22" s="55">
        <f>[5]LLS_Energy_Losses_by_Rate_Clas!$C$49</f>
        <v>1.0486554726996764</v>
      </c>
      <c r="I22" s="56">
        <f t="shared" si="1"/>
        <v>721158531.33117926</v>
      </c>
      <c r="J22" s="56">
        <f t="shared" si="2"/>
        <v>14373.033296049074</v>
      </c>
      <c r="K22" s="57">
        <f t="shared" si="3"/>
        <v>6.2790577445445295E-3</v>
      </c>
      <c r="L22" s="41">
        <f t="shared" si="4"/>
        <v>7.0046456647681113E-4</v>
      </c>
      <c r="M22" s="36"/>
      <c r="N22" s="38" t="s">
        <v>69</v>
      </c>
      <c r="O22" s="58" t="s">
        <v>85</v>
      </c>
      <c r="P22" s="41">
        <f t="shared" si="0"/>
        <v>6.2790577445445295E-3</v>
      </c>
      <c r="Q22" s="41">
        <f t="shared" si="0"/>
        <v>7.0046456647681113E-4</v>
      </c>
      <c r="R22" s="59">
        <f t="shared" si="5"/>
        <v>427137</v>
      </c>
      <c r="S22" s="59">
        <f t="shared" si="6"/>
        <v>142949</v>
      </c>
      <c r="T22" s="59">
        <f t="shared" si="7"/>
        <v>570086</v>
      </c>
      <c r="U22" s="56">
        <f t="shared" si="8"/>
        <v>687698248</v>
      </c>
      <c r="V22" s="42"/>
      <c r="W22" s="37" t="s">
        <v>47</v>
      </c>
      <c r="X22" s="44" t="s">
        <v>47</v>
      </c>
      <c r="Y22" s="50">
        <f t="shared" ref="Y22" si="13">ROUND(T22/U22,5)</f>
        <v>8.3000000000000001E-4</v>
      </c>
      <c r="Z22" s="62"/>
    </row>
    <row r="23" spans="1:27" x14ac:dyDescent="0.3">
      <c r="A23" s="51" t="s">
        <v>75</v>
      </c>
      <c r="B23" s="36" t="s">
        <v>118</v>
      </c>
      <c r="C23" s="38" t="s">
        <v>70</v>
      </c>
      <c r="D23" s="52">
        <f>'[1]GSCU-1 &amp; SL-2'!$Q$69</f>
        <v>0.94284877388354726</v>
      </c>
      <c r="E23" s="31">
        <f>SUM('[7]Forecast Summary by Rate Code'!$CT$33:$DE$33)+SUM('[7]Forecast Summary by Rate Code'!$CT$13:$DE$13)</f>
        <v>107515874</v>
      </c>
      <c r="F23" s="54">
        <f t="shared" si="9"/>
        <v>13017</v>
      </c>
      <c r="G23" s="55">
        <f>[5]LLS_12CP_Demand_Losses_by_Rate!$C$68</f>
        <v>1.0646691338092202</v>
      </c>
      <c r="H23" s="55">
        <f>[5]LLS_Energy_Losses_by_Rate_Clas!$C$67</f>
        <v>1.0486554726996764</v>
      </c>
      <c r="I23" s="56">
        <f t="shared" si="1"/>
        <v>112747109.67218885</v>
      </c>
      <c r="J23" s="56">
        <f t="shared" si="2"/>
        <v>13858.798114794619</v>
      </c>
      <c r="K23" s="57">
        <f t="shared" si="3"/>
        <v>9.8167820445163308E-4</v>
      </c>
      <c r="L23" s="41">
        <f t="shared" si="4"/>
        <v>6.7540350136374684E-4</v>
      </c>
      <c r="M23" s="36"/>
      <c r="N23" s="38" t="s">
        <v>71</v>
      </c>
      <c r="O23" s="58" t="s">
        <v>86</v>
      </c>
      <c r="P23" s="41">
        <f t="shared" si="0"/>
        <v>9.8167820445163308E-4</v>
      </c>
      <c r="Q23" s="41">
        <f t="shared" si="0"/>
        <v>6.7540350136374684E-4</v>
      </c>
      <c r="R23" s="59">
        <f t="shared" si="5"/>
        <v>66779</v>
      </c>
      <c r="S23" s="59">
        <f t="shared" si="6"/>
        <v>137834</v>
      </c>
      <c r="T23" s="59">
        <f t="shared" si="7"/>
        <v>204613</v>
      </c>
      <c r="U23" s="56">
        <f t="shared" si="8"/>
        <v>107515874</v>
      </c>
      <c r="V23" s="42"/>
      <c r="W23" s="37" t="s">
        <v>47</v>
      </c>
      <c r="X23" s="44" t="s">
        <v>47</v>
      </c>
      <c r="Y23" s="50">
        <f>ROUND(T23/U23,5)</f>
        <v>1.9E-3</v>
      </c>
      <c r="Z23" s="62"/>
    </row>
    <row r="24" spans="1:27" x14ac:dyDescent="0.3">
      <c r="B24" s="36"/>
      <c r="C24" s="36"/>
      <c r="D24" s="45"/>
      <c r="E24" s="4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47"/>
      <c r="T24" s="36"/>
      <c r="U24" s="36"/>
      <c r="V24" s="36"/>
      <c r="W24" s="36"/>
      <c r="X24" s="48"/>
      <c r="Y24" s="40"/>
    </row>
    <row r="25" spans="1:27" x14ac:dyDescent="0.3">
      <c r="B25" s="36"/>
      <c r="C25" s="38" t="s">
        <v>72</v>
      </c>
      <c r="D25" s="36"/>
      <c r="E25" s="56">
        <f>SUM(E10:E23)</f>
        <v>109630464426</v>
      </c>
      <c r="F25" s="56">
        <f>SUM(F10:F23)</f>
        <v>19291827</v>
      </c>
      <c r="G25" s="36"/>
      <c r="H25" s="36"/>
      <c r="I25" s="56">
        <f>SUM(I10:I23)</f>
        <v>114851393420.89148</v>
      </c>
      <c r="J25" s="56">
        <f>SUM(J10:J23)</f>
        <v>20519286.747568686</v>
      </c>
      <c r="K25" s="64">
        <f>SUM(K10:K23)</f>
        <v>0.99999999999999989</v>
      </c>
      <c r="L25" s="64">
        <f>SUM(L10:L23)</f>
        <v>1</v>
      </c>
      <c r="M25" s="36"/>
      <c r="N25" s="38" t="s">
        <v>72</v>
      </c>
      <c r="O25" s="38"/>
      <c r="P25" s="36"/>
      <c r="Q25" s="36"/>
      <c r="R25" s="59">
        <f>SUM(R10:R23)</f>
        <v>68025630</v>
      </c>
      <c r="S25" s="59">
        <f>SUM(S10:S23)</f>
        <v>204076887</v>
      </c>
      <c r="T25" s="69">
        <f>[3]Summary!$B$36</f>
        <v>272102517.03007358</v>
      </c>
      <c r="U25" s="56">
        <f>SUM(U10:U23)</f>
        <v>109630464426</v>
      </c>
      <c r="V25" s="36"/>
      <c r="W25" s="56">
        <f>SUM(W10:W23)</f>
        <v>112705761</v>
      </c>
      <c r="X25" s="48"/>
      <c r="Y25" s="50"/>
    </row>
    <row r="27" spans="1:27" hidden="1" x14ac:dyDescent="0.3">
      <c r="C27" s="51" t="s">
        <v>64</v>
      </c>
    </row>
    <row r="28" spans="1:27" hidden="1" x14ac:dyDescent="0.3">
      <c r="C28" s="51" t="s">
        <v>73</v>
      </c>
    </row>
    <row r="29" spans="1:27" hidden="1" x14ac:dyDescent="0.3">
      <c r="C29" s="51" t="s">
        <v>66</v>
      </c>
    </row>
    <row r="30" spans="1:27" hidden="1" x14ac:dyDescent="0.3">
      <c r="C30" s="51" t="s">
        <v>74</v>
      </c>
    </row>
    <row r="31" spans="1:27" hidden="1" x14ac:dyDescent="0.3">
      <c r="C31" s="51" t="s">
        <v>51</v>
      </c>
    </row>
    <row r="32" spans="1:27" hidden="1" x14ac:dyDescent="0.3">
      <c r="C32" s="51" t="s">
        <v>55</v>
      </c>
    </row>
    <row r="33" spans="3:20" hidden="1" x14ac:dyDescent="0.3">
      <c r="C33" s="51" t="s">
        <v>57</v>
      </c>
    </row>
    <row r="34" spans="3:20" hidden="1" x14ac:dyDescent="0.3">
      <c r="C34" s="51" t="s">
        <v>60</v>
      </c>
    </row>
    <row r="35" spans="3:20" hidden="1" x14ac:dyDescent="0.3">
      <c r="C35" s="51" t="s">
        <v>48</v>
      </c>
    </row>
    <row r="36" spans="3:20" hidden="1" x14ac:dyDescent="0.3">
      <c r="C36" s="51" t="s">
        <v>68</v>
      </c>
    </row>
    <row r="37" spans="3:20" hidden="1" x14ac:dyDescent="0.3">
      <c r="C37" s="51" t="s">
        <v>1</v>
      </c>
    </row>
    <row r="38" spans="3:20" hidden="1" x14ac:dyDescent="0.3">
      <c r="C38" s="51" t="s">
        <v>53</v>
      </c>
    </row>
    <row r="39" spans="3:20" hidden="1" x14ac:dyDescent="0.3">
      <c r="C39" s="51" t="s">
        <v>45</v>
      </c>
    </row>
    <row r="40" spans="3:20" hidden="1" x14ac:dyDescent="0.3">
      <c r="C40" s="51" t="s">
        <v>0</v>
      </c>
    </row>
    <row r="41" spans="3:20" hidden="1" x14ac:dyDescent="0.3">
      <c r="C41" s="51" t="s">
        <v>75</v>
      </c>
    </row>
    <row r="42" spans="3:20" x14ac:dyDescent="0.3">
      <c r="F42" s="65"/>
      <c r="T42" s="59"/>
    </row>
    <row r="44" spans="3:20" x14ac:dyDescent="0.3">
      <c r="T44" s="67"/>
    </row>
  </sheetData>
  <pageMargins left="0.7" right="0.7" top="0.75" bottom="0.75" header="0.3" footer="0.3"/>
  <pageSetup scale="90" orientation="landscape" r:id="rId1"/>
  <colBreaks count="2" manualBreakCount="2">
    <brk id="12" max="1048575" man="1"/>
    <brk id="21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4A81384F0AC4446BCFA4541262B40A3" ma:contentTypeVersion="" ma:contentTypeDescription="Create a new document." ma:contentTypeScope="" ma:versionID="7858f3f591b3ecf1ab3064870dd50f80">
  <xsd:schema xmlns:xsd="http://www.w3.org/2001/XMLSchema" xmlns:xs="http://www.w3.org/2001/XMLSchema" xmlns:p="http://schemas.microsoft.com/office/2006/metadata/properties" xmlns:ns2="c85253b9-0a55-49a1-98ad-b5b6252d7079" targetNamespace="http://schemas.microsoft.com/office/2006/metadata/properties" ma:root="true" ma:fieldsID="ce7e9296015639994c0241091a34abd8" ns2:_="">
    <xsd:import namespace="c85253b9-0a55-49a1-98ad-b5b6252d7079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2:Document_x0020_Status" minOccurs="0"/>
                <xsd:element ref="ns2:Document_x0020_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5253b9-0a55-49a1-98ad-b5b6252d7079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  <xsd:element name="Document_x0020_Status" ma:index="9" nillable="true" ma:displayName="Document Status" ma:default="Draft" ma:format="Dropdown" ma:internalName="Document_x0020_Status">
      <xsd:simpleType>
        <xsd:restriction base="dms:Choice">
          <xsd:enumeration value="Draft"/>
          <xsd:enumeration value="Final"/>
        </xsd:restriction>
      </xsd:simpleType>
    </xsd:element>
    <xsd:element name="Document_x0020_Type" ma:index="10" nillable="true" ma:displayName="Document Type" ma:default="Question" ma:format="Dropdown" ma:internalName="Document_x0020_Type">
      <xsd:simpleType>
        <xsd:restriction base="dms:Choice">
          <xsd:enumeration value="Answer"/>
          <xsd:enumeration value="Question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x0020_Status xmlns="c85253b9-0a55-49a1-98ad-b5b6252d7079">Draft</Document_x0020_Status>
    <Comments xmlns="c85253b9-0a55-49a1-98ad-b5b6252d7079" xsi:nil="true"/>
    <Document_x0020_Type xmlns="c85253b9-0a55-49a1-98ad-b5b6252d7079">Question</Document_x0020_Type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519EA78-2C31-4111-BCCB-45F6AB620FE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5253b9-0a55-49a1-98ad-b5b6252d70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B331B84-C1F6-4253-B091-20D6B5CA8A4C}">
  <ds:schemaRefs>
    <ds:schemaRef ds:uri="http://schemas.microsoft.com/office/2006/metadata/properties"/>
    <ds:schemaRef ds:uri="http://schemas.microsoft.com/office/infopath/2007/PartnerControls"/>
    <ds:schemaRef ds:uri="c85253b9-0a55-49a1-98ad-b5b6252d7079"/>
  </ds:schemaRefs>
</ds:datastoreItem>
</file>

<file path=customXml/itemProps3.xml><?xml version="1.0" encoding="utf-8"?>
<ds:datastoreItem xmlns:ds="http://schemas.openxmlformats.org/officeDocument/2006/customXml" ds:itemID="{B36D02E8-FB41-48E6-8485-1CA59BB21A6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2017 Capacity Calc</vt:lpstr>
      <vt:lpstr>2017 Clause Allocations</vt:lpstr>
      <vt:lpstr>2018 Capacity Calc</vt:lpstr>
      <vt:lpstr>2018 Clause Allocations</vt:lpstr>
      <vt:lpstr>2019 Capacity Calc</vt:lpstr>
      <vt:lpstr>2020 Capacity Calc</vt:lpstr>
    </vt:vector>
  </TitlesOfParts>
  <Company>NextEra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Mihir Sanghavi</dc:creator>
  <cp:lastModifiedBy>FPL_User</cp:lastModifiedBy>
  <cp:lastPrinted>2016-02-08T18:20:11Z</cp:lastPrinted>
  <dcterms:created xsi:type="dcterms:W3CDTF">2015-09-18T16:55:23Z</dcterms:created>
  <dcterms:modified xsi:type="dcterms:W3CDTF">2016-04-18T03:54:53Z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0x01010074A81384F0AC4446BCFA4541262B40A3</vt:lpwstr>
  </property>
</Properties>
</file>