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48" windowWidth="8196" windowHeight="6072" tabRatio="916"/>
  </bookViews>
  <sheets>
    <sheet name="Capex &amp; CPVRR Walk from MAP" sheetId="3" r:id="rId1"/>
    <sheet name="CPVRR Sensitivities" sheetId="6" r:id="rId2"/>
    <sheet name="Enjamio 5-13-15 O&amp;M Sensitivity" sheetId="7" r:id="rId3"/>
    <sheet name="O&amp;M Reduction Detail" sheetId="8" r:id="rId4"/>
    <sheet name="MAP O&amp;M" sheetId="12" r:id="rId5"/>
    <sheet name="3-20-15 O&amp;M" sheetId="13" r:id="rId6"/>
    <sheet name="7-10-15 O&amp;M" sheetId="11" r:id="rId7"/>
    <sheet name="MAP NCF &amp; FCV Detail" sheetId="10" r:id="rId8"/>
    <sheet name="7-10-15 NCF &amp; FCV" sheetId="9" r:id="rId9"/>
    <sheet name="AFUDC SWAG Calcs" sheetId="4" r:id="rId10"/>
  </sheets>
  <externalReferences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I19" i="8" l="1"/>
  <c r="J19" i="8"/>
  <c r="I21" i="8"/>
  <c r="I23" i="8" s="1"/>
  <c r="J30" i="3" l="1"/>
  <c r="J29" i="3"/>
  <c r="J28" i="3"/>
  <c r="J27" i="3"/>
  <c r="J26" i="3"/>
  <c r="J25" i="3"/>
  <c r="J24" i="3"/>
  <c r="J20" i="3" l="1"/>
  <c r="J19" i="3"/>
  <c r="J18" i="3"/>
  <c r="E46" i="8" l="1"/>
  <c r="D46" i="8"/>
  <c r="C46" i="8"/>
  <c r="D28" i="6" l="1"/>
  <c r="AB33" i="4" l="1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G32" i="4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Y32" i="4" s="1"/>
  <c r="Z32" i="4" s="1"/>
  <c r="AA32" i="4" s="1"/>
  <c r="AB32" i="4" s="1"/>
  <c r="F32" i="4"/>
  <c r="H30" i="4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G30" i="4"/>
  <c r="F30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AF13" i="13" l="1"/>
  <c r="AE13" i="13"/>
  <c r="AB13" i="13"/>
  <c r="AA13" i="13"/>
  <c r="X13" i="13"/>
  <c r="W13" i="13"/>
  <c r="T13" i="13"/>
  <c r="S13" i="13"/>
  <c r="P13" i="13"/>
  <c r="O13" i="13"/>
  <c r="L13" i="13"/>
  <c r="K13" i="13"/>
  <c r="H13" i="13"/>
  <c r="G13" i="13"/>
  <c r="D13" i="13"/>
  <c r="AG12" i="13"/>
  <c r="AD12" i="13"/>
  <c r="AC12" i="13"/>
  <c r="Z12" i="13"/>
  <c r="Y12" i="13"/>
  <c r="V12" i="13"/>
  <c r="U12" i="13"/>
  <c r="R12" i="13"/>
  <c r="Q12" i="13"/>
  <c r="N12" i="13"/>
  <c r="M12" i="13"/>
  <c r="J12" i="13"/>
  <c r="I12" i="13"/>
  <c r="F12" i="13"/>
  <c r="E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D14" i="13" s="1"/>
  <c r="AG10" i="13"/>
  <c r="AG13" i="13" s="1"/>
  <c r="AF10" i="13"/>
  <c r="AE10" i="13"/>
  <c r="AD10" i="13"/>
  <c r="AD13" i="13" s="1"/>
  <c r="AC10" i="13"/>
  <c r="AC13" i="13" s="1"/>
  <c r="AB10" i="13"/>
  <c r="AA10" i="13"/>
  <c r="Z10" i="13"/>
  <c r="Z13" i="13" s="1"/>
  <c r="Y10" i="13"/>
  <c r="Y13" i="13" s="1"/>
  <c r="X10" i="13"/>
  <c r="W10" i="13"/>
  <c r="V10" i="13"/>
  <c r="V13" i="13" s="1"/>
  <c r="U10" i="13"/>
  <c r="U13" i="13" s="1"/>
  <c r="T10" i="13"/>
  <c r="S10" i="13"/>
  <c r="R10" i="13"/>
  <c r="R13" i="13" s="1"/>
  <c r="Q10" i="13"/>
  <c r="Q13" i="13" s="1"/>
  <c r="P10" i="13"/>
  <c r="O10" i="13"/>
  <c r="N10" i="13"/>
  <c r="N13" i="13" s="1"/>
  <c r="M10" i="13"/>
  <c r="M13" i="13" s="1"/>
  <c r="L10" i="13"/>
  <c r="K10" i="13"/>
  <c r="J10" i="13"/>
  <c r="J13" i="13" s="1"/>
  <c r="I10" i="13"/>
  <c r="I13" i="13" s="1"/>
  <c r="H10" i="13"/>
  <c r="G10" i="13"/>
  <c r="F10" i="13"/>
  <c r="F13" i="13" s="1"/>
  <c r="E10" i="13"/>
  <c r="E13" i="13" s="1"/>
  <c r="D10" i="13"/>
  <c r="D17" i="13" s="1"/>
  <c r="D18" i="13" s="1"/>
  <c r="AG9" i="13"/>
  <c r="AF9" i="13"/>
  <c r="AF12" i="13" s="1"/>
  <c r="AE9" i="13"/>
  <c r="AE12" i="13" s="1"/>
  <c r="AD9" i="13"/>
  <c r="AC9" i="13"/>
  <c r="AB9" i="13"/>
  <c r="AB12" i="13" s="1"/>
  <c r="AA9" i="13"/>
  <c r="AA12" i="13" s="1"/>
  <c r="Z9" i="13"/>
  <c r="Y9" i="13"/>
  <c r="X9" i="13"/>
  <c r="X12" i="13" s="1"/>
  <c r="W9" i="13"/>
  <c r="W12" i="13" s="1"/>
  <c r="V9" i="13"/>
  <c r="U9" i="13"/>
  <c r="T9" i="13"/>
  <c r="T12" i="13" s="1"/>
  <c r="S9" i="13"/>
  <c r="S12" i="13" s="1"/>
  <c r="R9" i="13"/>
  <c r="Q9" i="13"/>
  <c r="P9" i="13"/>
  <c r="P12" i="13" s="1"/>
  <c r="O9" i="13"/>
  <c r="O12" i="13" s="1"/>
  <c r="N9" i="13"/>
  <c r="M9" i="13"/>
  <c r="L9" i="13"/>
  <c r="L12" i="13" s="1"/>
  <c r="K9" i="13"/>
  <c r="K12" i="13" s="1"/>
  <c r="J9" i="13"/>
  <c r="I9" i="13"/>
  <c r="H9" i="13"/>
  <c r="H12" i="13" s="1"/>
  <c r="G9" i="13"/>
  <c r="G12" i="13" s="1"/>
  <c r="F9" i="13"/>
  <c r="E9" i="13"/>
  <c r="D9" i="13"/>
  <c r="D12" i="13" s="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2" i="11"/>
  <c r="B51" i="11"/>
  <c r="AE53" i="11" s="1"/>
  <c r="AE56" i="11" s="1"/>
  <c r="B49" i="11"/>
  <c r="AF45" i="11"/>
  <c r="AE45" i="11"/>
  <c r="X45" i="11"/>
  <c r="W45" i="11"/>
  <c r="P45" i="11"/>
  <c r="O45" i="11"/>
  <c r="H45" i="11"/>
  <c r="G45" i="11"/>
  <c r="AC44" i="11"/>
  <c r="V44" i="11"/>
  <c r="U44" i="11"/>
  <c r="M44" i="11"/>
  <c r="F44" i="11"/>
  <c r="E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D46" i="11" s="1"/>
  <c r="B43" i="11"/>
  <c r="B46" i="11" s="1"/>
  <c r="AG42" i="11"/>
  <c r="AG45" i="11" s="1"/>
  <c r="AF42" i="11"/>
  <c r="AE42" i="11"/>
  <c r="AD42" i="11"/>
  <c r="AC42" i="11"/>
  <c r="AC45" i="11" s="1"/>
  <c r="AB42" i="11"/>
  <c r="AB45" i="11" s="1"/>
  <c r="AA42" i="11"/>
  <c r="Z42" i="11"/>
  <c r="Y42" i="11"/>
  <c r="Y45" i="11" s="1"/>
  <c r="X42" i="11"/>
  <c r="W42" i="11"/>
  <c r="V42" i="11"/>
  <c r="U42" i="11"/>
  <c r="U45" i="11" s="1"/>
  <c r="T42" i="11"/>
  <c r="T45" i="11" s="1"/>
  <c r="S42" i="11"/>
  <c r="R42" i="11"/>
  <c r="Q42" i="11"/>
  <c r="Q45" i="11" s="1"/>
  <c r="P42" i="11"/>
  <c r="O42" i="11"/>
  <c r="N42" i="11"/>
  <c r="M42" i="11"/>
  <c r="M45" i="11" s="1"/>
  <c r="L42" i="11"/>
  <c r="L45" i="11" s="1"/>
  <c r="K42" i="11"/>
  <c r="J42" i="11"/>
  <c r="I42" i="11"/>
  <c r="I45" i="11" s="1"/>
  <c r="H42" i="11"/>
  <c r="G42" i="11"/>
  <c r="F42" i="11"/>
  <c r="E42" i="11"/>
  <c r="E45" i="11" s="1"/>
  <c r="D42" i="11"/>
  <c r="D45" i="11" s="1"/>
  <c r="AG41" i="11"/>
  <c r="AG44" i="11" s="1"/>
  <c r="AF41" i="11"/>
  <c r="AF44" i="11" s="1"/>
  <c r="AD41" i="11"/>
  <c r="AD44" i="11" s="1"/>
  <c r="AC41" i="11"/>
  <c r="AB41" i="11"/>
  <c r="AB44" i="11" s="1"/>
  <c r="Z41" i="11"/>
  <c r="Z44" i="11" s="1"/>
  <c r="Y41" i="11"/>
  <c r="Y44" i="11" s="1"/>
  <c r="X41" i="11"/>
  <c r="X44" i="11" s="1"/>
  <c r="V41" i="11"/>
  <c r="U41" i="11"/>
  <c r="T41" i="11"/>
  <c r="T44" i="11" s="1"/>
  <c r="R41" i="11"/>
  <c r="R44" i="11" s="1"/>
  <c r="Q41" i="11"/>
  <c r="Q44" i="11" s="1"/>
  <c r="P41" i="11"/>
  <c r="P44" i="11" s="1"/>
  <c r="N41" i="11"/>
  <c r="N44" i="11" s="1"/>
  <c r="M41" i="11"/>
  <c r="L41" i="11"/>
  <c r="L44" i="11" s="1"/>
  <c r="J41" i="11"/>
  <c r="J44" i="11" s="1"/>
  <c r="I41" i="11"/>
  <c r="I44" i="11" s="1"/>
  <c r="H41" i="11"/>
  <c r="H44" i="11" s="1"/>
  <c r="F41" i="11"/>
  <c r="E41" i="11"/>
  <c r="D41" i="11"/>
  <c r="D44" i="11" s="1"/>
  <c r="B41" i="11"/>
  <c r="B44" i="11" s="1"/>
  <c r="B47" i="11" s="1"/>
  <c r="AH40" i="11"/>
  <c r="E38" i="11"/>
  <c r="F38" i="11" s="1"/>
  <c r="G38" i="11" s="1"/>
  <c r="H38" i="11" s="1"/>
  <c r="I38" i="11" s="1"/>
  <c r="J38" i="11" s="1"/>
  <c r="K38" i="11" s="1"/>
  <c r="L38" i="11" s="1"/>
  <c r="M38" i="11" s="1"/>
  <c r="N38" i="11" s="1"/>
  <c r="O38" i="11" s="1"/>
  <c r="P38" i="11" s="1"/>
  <c r="Q38" i="11" s="1"/>
  <c r="R38" i="11" s="1"/>
  <c r="S38" i="11" s="1"/>
  <c r="T38" i="11" s="1"/>
  <c r="U38" i="11" s="1"/>
  <c r="V38" i="11" s="1"/>
  <c r="W38" i="11" s="1"/>
  <c r="X38" i="11" s="1"/>
  <c r="Y38" i="11" s="1"/>
  <c r="Z38" i="11" s="1"/>
  <c r="AA38" i="11" s="1"/>
  <c r="AB38" i="11" s="1"/>
  <c r="AC38" i="11" s="1"/>
  <c r="AD38" i="11" s="1"/>
  <c r="AE38" i="11" s="1"/>
  <c r="AF38" i="11" s="1"/>
  <c r="AG38" i="11" s="1"/>
  <c r="D38" i="11"/>
  <c r="F37" i="11"/>
  <c r="G37" i="11" s="1"/>
  <c r="H37" i="11" s="1"/>
  <c r="I37" i="11" s="1"/>
  <c r="J37" i="11" s="1"/>
  <c r="K37" i="11" s="1"/>
  <c r="L37" i="11" s="1"/>
  <c r="M37" i="11" s="1"/>
  <c r="N37" i="11" s="1"/>
  <c r="O37" i="11" s="1"/>
  <c r="P37" i="11" s="1"/>
  <c r="Q37" i="11" s="1"/>
  <c r="R37" i="11" s="1"/>
  <c r="S37" i="11" s="1"/>
  <c r="T37" i="11" s="1"/>
  <c r="U37" i="11" s="1"/>
  <c r="V37" i="11" s="1"/>
  <c r="W37" i="11" s="1"/>
  <c r="X37" i="11" s="1"/>
  <c r="Y37" i="11" s="1"/>
  <c r="Z37" i="11" s="1"/>
  <c r="AA37" i="11" s="1"/>
  <c r="AB37" i="11" s="1"/>
  <c r="AC37" i="11" s="1"/>
  <c r="AD37" i="11" s="1"/>
  <c r="AE37" i="11" s="1"/>
  <c r="AF37" i="11" s="1"/>
  <c r="AG37" i="11" s="1"/>
  <c r="E37" i="11"/>
  <c r="D37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D24" i="11" s="1"/>
  <c r="C21" i="11"/>
  <c r="B19" i="11"/>
  <c r="B18" i="11"/>
  <c r="B21" i="11" s="1"/>
  <c r="B24" i="11" s="1"/>
  <c r="B16" i="11"/>
  <c r="B11" i="11"/>
  <c r="B14" i="11" s="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D13" i="11" s="1"/>
  <c r="B10" i="11"/>
  <c r="B13" i="11" s="1"/>
  <c r="AG8" i="11"/>
  <c r="AG11" i="11" s="1"/>
  <c r="AF8" i="11"/>
  <c r="AF11" i="11" s="1"/>
  <c r="AE8" i="11"/>
  <c r="AE11" i="11" s="1"/>
  <c r="AB8" i="11"/>
  <c r="AB11" i="11" s="1"/>
  <c r="AA8" i="11"/>
  <c r="AA11" i="11" s="1"/>
  <c r="Y8" i="11"/>
  <c r="Y11" i="11" s="1"/>
  <c r="W8" i="11"/>
  <c r="W11" i="11" s="1"/>
  <c r="U8" i="11"/>
  <c r="U11" i="11" s="1"/>
  <c r="T8" i="11"/>
  <c r="T11" i="11" s="1"/>
  <c r="Q8" i="11"/>
  <c r="Q11" i="11" s="1"/>
  <c r="P8" i="11"/>
  <c r="P11" i="11" s="1"/>
  <c r="O8" i="11"/>
  <c r="O11" i="11" s="1"/>
  <c r="L8" i="11"/>
  <c r="L11" i="11" s="1"/>
  <c r="K8" i="11"/>
  <c r="K11" i="11" s="1"/>
  <c r="I8" i="11"/>
  <c r="I11" i="11" s="1"/>
  <c r="G8" i="11"/>
  <c r="G11" i="11" s="1"/>
  <c r="E8" i="11"/>
  <c r="E11" i="11" s="1"/>
  <c r="D8" i="11"/>
  <c r="D11" i="11" s="1"/>
  <c r="B8" i="11"/>
  <c r="AH7" i="1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Z5" i="11" s="1"/>
  <c r="AA5" i="11" s="1"/>
  <c r="AB5" i="11" s="1"/>
  <c r="AC5" i="11" s="1"/>
  <c r="AD5" i="11" s="1"/>
  <c r="AE5" i="11" s="1"/>
  <c r="AF5" i="11" s="1"/>
  <c r="AG5" i="11" s="1"/>
  <c r="E4" i="11"/>
  <c r="D4" i="11"/>
  <c r="D9" i="11" s="1"/>
  <c r="D15" i="13" l="1"/>
  <c r="D16" i="13"/>
  <c r="P52" i="11"/>
  <c r="P55" i="11" s="1"/>
  <c r="AE63" i="11"/>
  <c r="AE64" i="11" s="1"/>
  <c r="Y53" i="11"/>
  <c r="Y56" i="11" s="1"/>
  <c r="AA52" i="11"/>
  <c r="AA55" i="11" s="1"/>
  <c r="D53" i="11"/>
  <c r="D56" i="11" s="1"/>
  <c r="D52" i="11"/>
  <c r="D55" i="11" s="1"/>
  <c r="P53" i="11"/>
  <c r="P56" i="11" s="1"/>
  <c r="AD52" i="11"/>
  <c r="AD55" i="11" s="1"/>
  <c r="K52" i="11"/>
  <c r="K55" i="11" s="1"/>
  <c r="T52" i="11"/>
  <c r="T55" i="11" s="1"/>
  <c r="AF52" i="11"/>
  <c r="AF55" i="11" s="1"/>
  <c r="I53" i="11"/>
  <c r="I56" i="11" s="1"/>
  <c r="T53" i="11"/>
  <c r="T56" i="11" s="1"/>
  <c r="AF53" i="11"/>
  <c r="AF56" i="11" s="1"/>
  <c r="C52" i="11"/>
  <c r="C55" i="11" s="1"/>
  <c r="L52" i="11"/>
  <c r="L55" i="11" s="1"/>
  <c r="X52" i="11"/>
  <c r="X55" i="11" s="1"/>
  <c r="C53" i="11"/>
  <c r="L53" i="11"/>
  <c r="L56" i="11" s="1"/>
  <c r="X53" i="11"/>
  <c r="X56" i="11" s="1"/>
  <c r="AG53" i="11"/>
  <c r="AG56" i="11" s="1"/>
  <c r="H52" i="11"/>
  <c r="H55" i="11" s="1"/>
  <c r="S52" i="11"/>
  <c r="S55" i="11" s="1"/>
  <c r="AB52" i="11"/>
  <c r="AB55" i="11" s="1"/>
  <c r="H53" i="11"/>
  <c r="H56" i="11" s="1"/>
  <c r="Q53" i="11"/>
  <c r="Q56" i="11" s="1"/>
  <c r="AB53" i="11"/>
  <c r="AB56" i="11" s="1"/>
  <c r="G52" i="11"/>
  <c r="G55" i="11" s="1"/>
  <c r="O52" i="11"/>
  <c r="O55" i="11" s="1"/>
  <c r="W52" i="11"/>
  <c r="W55" i="11" s="1"/>
  <c r="AE52" i="11"/>
  <c r="AE55" i="11" s="1"/>
  <c r="E53" i="11"/>
  <c r="M53" i="11"/>
  <c r="U53" i="11"/>
  <c r="AC53" i="11"/>
  <c r="F45" i="11"/>
  <c r="J45" i="11"/>
  <c r="R45" i="11"/>
  <c r="V45" i="11"/>
  <c r="Z45" i="11"/>
  <c r="AD45" i="11"/>
  <c r="D49" i="11"/>
  <c r="E20" i="11"/>
  <c r="E23" i="11" s="1"/>
  <c r="AG19" i="11"/>
  <c r="AG22" i="11" s="1"/>
  <c r="K45" i="11"/>
  <c r="D48" i="11" s="1"/>
  <c r="S45" i="11"/>
  <c r="AA45" i="11"/>
  <c r="D57" i="11"/>
  <c r="N45" i="11"/>
  <c r="G41" i="11"/>
  <c r="G44" i="11" s="1"/>
  <c r="K41" i="11"/>
  <c r="K44" i="11" s="1"/>
  <c r="D47" i="11" s="1"/>
  <c r="O41" i="11"/>
  <c r="O44" i="11" s="1"/>
  <c r="S41" i="11"/>
  <c r="S44" i="11" s="1"/>
  <c r="W41" i="11"/>
  <c r="W44" i="11" s="1"/>
  <c r="AA41" i="11"/>
  <c r="AA44" i="11" s="1"/>
  <c r="AE41" i="11"/>
  <c r="AE44" i="11" s="1"/>
  <c r="E52" i="11"/>
  <c r="E55" i="11" s="1"/>
  <c r="I52" i="11"/>
  <c r="I55" i="11" s="1"/>
  <c r="M52" i="11"/>
  <c r="M55" i="11" s="1"/>
  <c r="Q52" i="11"/>
  <c r="Q55" i="11" s="1"/>
  <c r="U52" i="11"/>
  <c r="U55" i="11" s="1"/>
  <c r="Y52" i="11"/>
  <c r="Y55" i="11" s="1"/>
  <c r="AC52" i="11"/>
  <c r="AC55" i="11" s="1"/>
  <c r="AG52" i="11"/>
  <c r="AG55" i="11" s="1"/>
  <c r="F53" i="11"/>
  <c r="F56" i="11" s="1"/>
  <c r="J53" i="11"/>
  <c r="J56" i="11" s="1"/>
  <c r="N53" i="11"/>
  <c r="N56" i="11" s="1"/>
  <c r="R53" i="11"/>
  <c r="R56" i="11" s="1"/>
  <c r="V53" i="11"/>
  <c r="V56" i="11" s="1"/>
  <c r="Z53" i="11"/>
  <c r="Z56" i="11" s="1"/>
  <c r="AD53" i="11"/>
  <c r="AD56" i="11" s="1"/>
  <c r="B54" i="11"/>
  <c r="B57" i="11" s="1"/>
  <c r="B55" i="11"/>
  <c r="B58" i="11" s="1"/>
  <c r="B60" i="11"/>
  <c r="F52" i="11"/>
  <c r="F55" i="11" s="1"/>
  <c r="J52" i="11"/>
  <c r="J55" i="11" s="1"/>
  <c r="N52" i="11"/>
  <c r="N55" i="11" s="1"/>
  <c r="R52" i="11"/>
  <c r="R55" i="11" s="1"/>
  <c r="V52" i="11"/>
  <c r="V55" i="11" s="1"/>
  <c r="Z52" i="11"/>
  <c r="Z55" i="11" s="1"/>
  <c r="G53" i="11"/>
  <c r="G56" i="11" s="1"/>
  <c r="K53" i="11"/>
  <c r="K56" i="11" s="1"/>
  <c r="O53" i="11"/>
  <c r="O56" i="11" s="1"/>
  <c r="S53" i="11"/>
  <c r="S56" i="11" s="1"/>
  <c r="W53" i="11"/>
  <c r="W56" i="11" s="1"/>
  <c r="AA53" i="11"/>
  <c r="AA56" i="11" s="1"/>
  <c r="F4" i="11"/>
  <c r="E19" i="11"/>
  <c r="E22" i="11" s="1"/>
  <c r="J19" i="11"/>
  <c r="J22" i="11" s="1"/>
  <c r="O19" i="11"/>
  <c r="O22" i="11" s="1"/>
  <c r="U19" i="11"/>
  <c r="U22" i="11" s="1"/>
  <c r="Z19" i="11"/>
  <c r="Z22" i="11" s="1"/>
  <c r="AE19" i="11"/>
  <c r="AE22" i="11" s="1"/>
  <c r="D12" i="11"/>
  <c r="AD8" i="11"/>
  <c r="AD11" i="11" s="1"/>
  <c r="Z8" i="11"/>
  <c r="Z11" i="11" s="1"/>
  <c r="V8" i="11"/>
  <c r="V11" i="11" s="1"/>
  <c r="R8" i="11"/>
  <c r="R11" i="11" s="1"/>
  <c r="N8" i="11"/>
  <c r="N11" i="11" s="1"/>
  <c r="J8" i="11"/>
  <c r="J11" i="11" s="1"/>
  <c r="F8" i="11"/>
  <c r="F11" i="11" s="1"/>
  <c r="D14" i="11" s="1"/>
  <c r="H8" i="11"/>
  <c r="H11" i="11" s="1"/>
  <c r="M8" i="11"/>
  <c r="M11" i="11" s="1"/>
  <c r="S8" i="11"/>
  <c r="S11" i="11" s="1"/>
  <c r="X8" i="11"/>
  <c r="X11" i="11" s="1"/>
  <c r="AC8" i="11"/>
  <c r="AC11" i="11" s="1"/>
  <c r="E9" i="11"/>
  <c r="F19" i="11"/>
  <c r="F22" i="11" s="1"/>
  <c r="K19" i="11"/>
  <c r="K22" i="11" s="1"/>
  <c r="Q19" i="11"/>
  <c r="Q22" i="11" s="1"/>
  <c r="V19" i="11"/>
  <c r="V22" i="11" s="1"/>
  <c r="AA19" i="11"/>
  <c r="AA22" i="11" s="1"/>
  <c r="B27" i="11"/>
  <c r="B22" i="11"/>
  <c r="B25" i="11" s="1"/>
  <c r="AF19" i="11"/>
  <c r="AF22" i="11" s="1"/>
  <c r="AB19" i="11"/>
  <c r="AB22" i="11" s="1"/>
  <c r="X19" i="11"/>
  <c r="X22" i="11" s="1"/>
  <c r="T19" i="11"/>
  <c r="T22" i="11" s="1"/>
  <c r="P19" i="11"/>
  <c r="P22" i="11" s="1"/>
  <c r="L19" i="11"/>
  <c r="L22" i="11" s="1"/>
  <c r="H19" i="11"/>
  <c r="H22" i="11" s="1"/>
  <c r="D19" i="11"/>
  <c r="D22" i="11" s="1"/>
  <c r="G19" i="11"/>
  <c r="G22" i="11" s="1"/>
  <c r="M19" i="11"/>
  <c r="M22" i="11" s="1"/>
  <c r="R19" i="11"/>
  <c r="R22" i="11" s="1"/>
  <c r="W19" i="11"/>
  <c r="W22" i="11" s="1"/>
  <c r="AC19" i="11"/>
  <c r="AC22" i="11" s="1"/>
  <c r="C20" i="11"/>
  <c r="K11" i="8" s="1"/>
  <c r="C19" i="11"/>
  <c r="C22" i="11" s="1"/>
  <c r="I19" i="11"/>
  <c r="I22" i="11" s="1"/>
  <c r="N19" i="11"/>
  <c r="N22" i="11" s="1"/>
  <c r="S19" i="11"/>
  <c r="S22" i="11" s="1"/>
  <c r="Y19" i="11"/>
  <c r="Y22" i="11" s="1"/>
  <c r="AD19" i="11"/>
  <c r="AD22" i="11" s="1"/>
  <c r="D20" i="11"/>
  <c r="D23" i="11" s="1"/>
  <c r="Y63" i="11" l="1"/>
  <c r="Y64" i="11" s="1"/>
  <c r="C56" i="11"/>
  <c r="L11" i="8"/>
  <c r="L63" i="11"/>
  <c r="L64" i="11" s="1"/>
  <c r="Q63" i="11"/>
  <c r="Q64" i="11" s="1"/>
  <c r="D63" i="11"/>
  <c r="D64" i="11" s="1"/>
  <c r="I63" i="11"/>
  <c r="I64" i="11" s="1"/>
  <c r="AF63" i="11"/>
  <c r="AF64" i="11" s="1"/>
  <c r="AB63" i="11"/>
  <c r="AB64" i="11" s="1"/>
  <c r="P63" i="11"/>
  <c r="P64" i="11" s="1"/>
  <c r="AG63" i="11"/>
  <c r="AG64" i="11" s="1"/>
  <c r="R63" i="11"/>
  <c r="R64" i="11" s="1"/>
  <c r="X63" i="11"/>
  <c r="X64" i="11" s="1"/>
  <c r="H63" i="11"/>
  <c r="H64" i="11" s="1"/>
  <c r="T63" i="11"/>
  <c r="T64" i="11" s="1"/>
  <c r="M63" i="11"/>
  <c r="M64" i="11" s="1"/>
  <c r="M56" i="11"/>
  <c r="E63" i="11"/>
  <c r="E64" i="11" s="1"/>
  <c r="E56" i="11"/>
  <c r="Z63" i="11"/>
  <c r="Z64" i="11" s="1"/>
  <c r="AC63" i="11"/>
  <c r="AC64" i="11" s="1"/>
  <c r="AC56" i="11"/>
  <c r="J63" i="11"/>
  <c r="J64" i="11" s="1"/>
  <c r="U56" i="11"/>
  <c r="U63" i="11"/>
  <c r="U64" i="11" s="1"/>
  <c r="O63" i="11"/>
  <c r="O64" i="11" s="1"/>
  <c r="F63" i="11"/>
  <c r="F64" i="11" s="1"/>
  <c r="AA63" i="11"/>
  <c r="AA64" i="11" s="1"/>
  <c r="K63" i="11"/>
  <c r="K64" i="11" s="1"/>
  <c r="D58" i="11"/>
  <c r="N63" i="11"/>
  <c r="N64" i="11" s="1"/>
  <c r="W63" i="11"/>
  <c r="W64" i="11" s="1"/>
  <c r="G63" i="11"/>
  <c r="G64" i="11" s="1"/>
  <c r="AD63" i="11"/>
  <c r="AD64" i="11" s="1"/>
  <c r="V63" i="11"/>
  <c r="V64" i="11" s="1"/>
  <c r="C60" i="11"/>
  <c r="S63" i="11"/>
  <c r="S64" i="11" s="1"/>
  <c r="C23" i="11"/>
  <c r="D30" i="11"/>
  <c r="D31" i="11" s="1"/>
  <c r="E30" i="11"/>
  <c r="E31" i="11" s="1"/>
  <c r="E12" i="11"/>
  <c r="F9" i="11"/>
  <c r="F20" i="11"/>
  <c r="F23" i="11" s="1"/>
  <c r="G4" i="11"/>
  <c r="D25" i="11"/>
  <c r="D59" i="11" l="1"/>
  <c r="G9" i="11"/>
  <c r="G20" i="11"/>
  <c r="G23" i="11" s="1"/>
  <c r="H4" i="11"/>
  <c r="F30" i="11"/>
  <c r="F31" i="11" s="1"/>
  <c r="F12" i="11"/>
  <c r="H9" i="11" l="1"/>
  <c r="H20" i="11"/>
  <c r="I4" i="11"/>
  <c r="G30" i="11"/>
  <c r="G31" i="11" s="1"/>
  <c r="G12" i="11"/>
  <c r="H23" i="11" l="1"/>
  <c r="H12" i="11"/>
  <c r="H30" i="11"/>
  <c r="H31" i="11" s="1"/>
  <c r="I20" i="11"/>
  <c r="I23" i="11" s="1"/>
  <c r="I9" i="11"/>
  <c r="J4" i="11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D13" i="12" s="1"/>
  <c r="AG9" i="12"/>
  <c r="AG12" i="12" s="1"/>
  <c r="AF9" i="12"/>
  <c r="AF12" i="12" s="1"/>
  <c r="AE9" i="12"/>
  <c r="AE12" i="12" s="1"/>
  <c r="AD9" i="12"/>
  <c r="AD12" i="12" s="1"/>
  <c r="AC9" i="12"/>
  <c r="AC12" i="12" s="1"/>
  <c r="AB9" i="12"/>
  <c r="AB12" i="12" s="1"/>
  <c r="AA9" i="12"/>
  <c r="AA12" i="12" s="1"/>
  <c r="Z9" i="12"/>
  <c r="Z12" i="12" s="1"/>
  <c r="Y9" i="12"/>
  <c r="Y12" i="12" s="1"/>
  <c r="X9" i="12"/>
  <c r="X12" i="12" s="1"/>
  <c r="W9" i="12"/>
  <c r="W12" i="12" s="1"/>
  <c r="V9" i="12"/>
  <c r="V12" i="12" s="1"/>
  <c r="U9" i="12"/>
  <c r="U12" i="12" s="1"/>
  <c r="T9" i="12"/>
  <c r="T12" i="12" s="1"/>
  <c r="S9" i="12"/>
  <c r="S12" i="12" s="1"/>
  <c r="R9" i="12"/>
  <c r="R12" i="12" s="1"/>
  <c r="Q9" i="12"/>
  <c r="Q12" i="12" s="1"/>
  <c r="P9" i="12"/>
  <c r="P12" i="12" s="1"/>
  <c r="O9" i="12"/>
  <c r="O12" i="12" s="1"/>
  <c r="N9" i="12"/>
  <c r="N12" i="12" s="1"/>
  <c r="M9" i="12"/>
  <c r="M12" i="12" s="1"/>
  <c r="L9" i="12"/>
  <c r="L12" i="12" s="1"/>
  <c r="K9" i="12"/>
  <c r="K12" i="12" s="1"/>
  <c r="J9" i="12"/>
  <c r="J12" i="12" s="1"/>
  <c r="I9" i="12"/>
  <c r="I12" i="12" s="1"/>
  <c r="H9" i="12"/>
  <c r="H12" i="12" s="1"/>
  <c r="G9" i="12"/>
  <c r="G12" i="12" s="1"/>
  <c r="F9" i="12"/>
  <c r="F12" i="12" s="1"/>
  <c r="E9" i="12"/>
  <c r="D16" i="12" s="1"/>
  <c r="D17" i="12" s="1"/>
  <c r="D9" i="12"/>
  <c r="D12" i="12" s="1"/>
  <c r="AG8" i="12"/>
  <c r="AG11" i="12" s="1"/>
  <c r="AF8" i="12"/>
  <c r="AF11" i="12" s="1"/>
  <c r="AE8" i="12"/>
  <c r="AE11" i="12" s="1"/>
  <c r="AD8" i="12"/>
  <c r="AD11" i="12" s="1"/>
  <c r="AC8" i="12"/>
  <c r="AC11" i="12" s="1"/>
  <c r="AB8" i="12"/>
  <c r="AB11" i="12" s="1"/>
  <c r="AA8" i="12"/>
  <c r="AA11" i="12" s="1"/>
  <c r="Z8" i="12"/>
  <c r="Z11" i="12" s="1"/>
  <c r="Y8" i="12"/>
  <c r="Y11" i="12" s="1"/>
  <c r="X8" i="12"/>
  <c r="X11" i="12" s="1"/>
  <c r="W8" i="12"/>
  <c r="W11" i="12" s="1"/>
  <c r="V8" i="12"/>
  <c r="V11" i="12" s="1"/>
  <c r="U8" i="12"/>
  <c r="U11" i="12" s="1"/>
  <c r="T8" i="12"/>
  <c r="T11" i="12" s="1"/>
  <c r="S8" i="12"/>
  <c r="S11" i="12" s="1"/>
  <c r="R8" i="12"/>
  <c r="R11" i="12" s="1"/>
  <c r="Q8" i="12"/>
  <c r="Q11" i="12" s="1"/>
  <c r="P8" i="12"/>
  <c r="P11" i="12" s="1"/>
  <c r="O8" i="12"/>
  <c r="O11" i="12" s="1"/>
  <c r="N8" i="12"/>
  <c r="N11" i="12" s="1"/>
  <c r="M8" i="12"/>
  <c r="M11" i="12" s="1"/>
  <c r="L8" i="12"/>
  <c r="L11" i="12" s="1"/>
  <c r="K8" i="12"/>
  <c r="K11" i="12" s="1"/>
  <c r="J8" i="12"/>
  <c r="J11" i="12" s="1"/>
  <c r="I8" i="12"/>
  <c r="I11" i="12" s="1"/>
  <c r="H8" i="12"/>
  <c r="H11" i="12" s="1"/>
  <c r="G8" i="12"/>
  <c r="G11" i="12" s="1"/>
  <c r="F8" i="12"/>
  <c r="F11" i="12" s="1"/>
  <c r="E8" i="12"/>
  <c r="E11" i="12" s="1"/>
  <c r="D8" i="12"/>
  <c r="D11" i="12" s="1"/>
  <c r="D14" i="12" s="1"/>
  <c r="D8" i="3"/>
  <c r="D7" i="3"/>
  <c r="B8" i="3"/>
  <c r="B7" i="3"/>
  <c r="P28" i="9"/>
  <c r="J20" i="11" l="1"/>
  <c r="J9" i="11"/>
  <c r="K4" i="11"/>
  <c r="I30" i="11"/>
  <c r="I31" i="11" s="1"/>
  <c r="I12" i="11"/>
  <c r="D15" i="12"/>
  <c r="E12" i="12"/>
  <c r="J30" i="11" l="1"/>
  <c r="J31" i="11" s="1"/>
  <c r="J12" i="11"/>
  <c r="J23" i="11"/>
  <c r="L4" i="11"/>
  <c r="K20" i="11"/>
  <c r="K23" i="11" s="1"/>
  <c r="K9" i="11"/>
  <c r="K30" i="11" l="1"/>
  <c r="K31" i="11" s="1"/>
  <c r="K12" i="11"/>
  <c r="L9" i="11"/>
  <c r="M4" i="11"/>
  <c r="L20" i="11"/>
  <c r="L23" i="11" l="1"/>
  <c r="M20" i="11"/>
  <c r="M23" i="11" s="1"/>
  <c r="M9" i="11"/>
  <c r="N4" i="11"/>
  <c r="L12" i="11"/>
  <c r="L30" i="11"/>
  <c r="L31" i="11" s="1"/>
  <c r="M30" i="11" l="1"/>
  <c r="M31" i="11" s="1"/>
  <c r="M12" i="11"/>
  <c r="N20" i="11"/>
  <c r="N23" i="11" s="1"/>
  <c r="N9" i="11"/>
  <c r="O4" i="11"/>
  <c r="N30" i="11" l="1"/>
  <c r="N31" i="11" s="1"/>
  <c r="N12" i="11"/>
  <c r="O20" i="11"/>
  <c r="O23" i="11" s="1"/>
  <c r="O9" i="11"/>
  <c r="P4" i="11"/>
  <c r="O30" i="11" l="1"/>
  <c r="O31" i="11" s="1"/>
  <c r="O12" i="11"/>
  <c r="P9" i="11"/>
  <c r="P20" i="11"/>
  <c r="P23" i="11" s="1"/>
  <c r="Q4" i="11"/>
  <c r="P12" i="11" l="1"/>
  <c r="P30" i="11"/>
  <c r="P31" i="11" s="1"/>
  <c r="Q20" i="11"/>
  <c r="Q23" i="11" s="1"/>
  <c r="Q9" i="11"/>
  <c r="R4" i="11"/>
  <c r="Q30" i="11" l="1"/>
  <c r="Q31" i="11" s="1"/>
  <c r="Q12" i="11"/>
  <c r="R9" i="11"/>
  <c r="R20" i="11"/>
  <c r="R23" i="11" s="1"/>
  <c r="S4" i="11"/>
  <c r="R30" i="11" l="1"/>
  <c r="R31" i="11" s="1"/>
  <c r="R12" i="11"/>
  <c r="S20" i="11"/>
  <c r="S23" i="11" s="1"/>
  <c r="T4" i="11"/>
  <c r="S9" i="11"/>
  <c r="T9" i="11" l="1"/>
  <c r="T20" i="11"/>
  <c r="T23" i="11" s="1"/>
  <c r="U4" i="11"/>
  <c r="S30" i="11"/>
  <c r="S31" i="11" s="1"/>
  <c r="S12" i="11"/>
  <c r="U20" i="11" l="1"/>
  <c r="U23" i="11" s="1"/>
  <c r="U9" i="11"/>
  <c r="V4" i="11"/>
  <c r="T12" i="11"/>
  <c r="T30" i="11"/>
  <c r="T31" i="11" s="1"/>
  <c r="V9" i="11" l="1"/>
  <c r="V20" i="11"/>
  <c r="V23" i="11" s="1"/>
  <c r="W4" i="11"/>
  <c r="U30" i="11"/>
  <c r="U31" i="11" s="1"/>
  <c r="U12" i="11"/>
  <c r="W9" i="11" l="1"/>
  <c r="W20" i="11"/>
  <c r="W23" i="11" s="1"/>
  <c r="X4" i="11"/>
  <c r="V30" i="11"/>
  <c r="V31" i="11" s="1"/>
  <c r="V12" i="11"/>
  <c r="X9" i="11" l="1"/>
  <c r="X20" i="11"/>
  <c r="X23" i="11" s="1"/>
  <c r="Y4" i="11"/>
  <c r="W30" i="11"/>
  <c r="W31" i="11" s="1"/>
  <c r="W12" i="11"/>
  <c r="Y20" i="11" l="1"/>
  <c r="Y23" i="11" s="1"/>
  <c r="Y9" i="11"/>
  <c r="Z4" i="11"/>
  <c r="X12" i="11"/>
  <c r="X30" i="11"/>
  <c r="X31" i="11" s="1"/>
  <c r="Z20" i="11" l="1"/>
  <c r="Z23" i="11" s="1"/>
  <c r="Z9" i="11"/>
  <c r="AA4" i="11"/>
  <c r="Y30" i="11"/>
  <c r="Y31" i="11" s="1"/>
  <c r="Y12" i="11"/>
  <c r="AB4" i="11" l="1"/>
  <c r="AA20" i="11"/>
  <c r="AA23" i="11" s="1"/>
  <c r="AA9" i="11"/>
  <c r="Z30" i="11"/>
  <c r="Z31" i="11" s="1"/>
  <c r="Z12" i="11"/>
  <c r="AA30" i="11" l="1"/>
  <c r="AA31" i="11" s="1"/>
  <c r="AA12" i="11"/>
  <c r="AB9" i="11"/>
  <c r="AC4" i="11"/>
  <c r="AB20" i="11"/>
  <c r="AB23" i="11" s="1"/>
  <c r="AC20" i="11" l="1"/>
  <c r="AC23" i="11" s="1"/>
  <c r="AC9" i="11"/>
  <c r="AD4" i="11"/>
  <c r="AB12" i="11"/>
  <c r="AB30" i="11"/>
  <c r="AB31" i="11" s="1"/>
  <c r="AD20" i="11" l="1"/>
  <c r="AD23" i="11" s="1"/>
  <c r="AD9" i="11"/>
  <c r="AE4" i="11"/>
  <c r="AC30" i="11"/>
  <c r="AC31" i="11" s="1"/>
  <c r="AC12" i="11"/>
  <c r="AE20" i="11" l="1"/>
  <c r="AE23" i="11" s="1"/>
  <c r="AE9" i="11"/>
  <c r="AF4" i="11"/>
  <c r="AD30" i="11"/>
  <c r="AD31" i="11" s="1"/>
  <c r="AD12" i="11"/>
  <c r="AF9" i="11" l="1"/>
  <c r="AF20" i="11"/>
  <c r="AF23" i="11" s="1"/>
  <c r="AG4" i="11"/>
  <c r="AE30" i="11"/>
  <c r="AE31" i="11" s="1"/>
  <c r="AE12" i="11"/>
  <c r="AG20" i="11" l="1"/>
  <c r="AG9" i="11"/>
  <c r="AF12" i="11"/>
  <c r="AF30" i="11"/>
  <c r="AF31" i="11" s="1"/>
  <c r="AG30" i="11" l="1"/>
  <c r="AG31" i="11" s="1"/>
  <c r="AG12" i="11"/>
  <c r="D15" i="11" s="1"/>
  <c r="D16" i="11"/>
  <c r="AG23" i="11"/>
  <c r="D26" i="11" s="1"/>
  <c r="C27" i="11"/>
  <c r="P27" i="10" l="1"/>
  <c r="E44" i="8" l="1"/>
  <c r="E43" i="8"/>
  <c r="D44" i="8"/>
  <c r="D43" i="8"/>
  <c r="B10" i="3" l="1"/>
  <c r="C10" i="3"/>
  <c r="C33" i="3" s="1"/>
  <c r="B13" i="3"/>
  <c r="B36" i="3" s="1"/>
  <c r="C13" i="3"/>
  <c r="C36" i="3" s="1"/>
  <c r="B14" i="3"/>
  <c r="B37" i="3" s="1"/>
  <c r="B15" i="3"/>
  <c r="C15" i="3"/>
  <c r="B11" i="3"/>
  <c r="B34" i="3" s="1"/>
  <c r="B12" i="3"/>
  <c r="B30" i="3"/>
  <c r="D23" i="3" s="1"/>
  <c r="C23" i="3"/>
  <c r="E8" i="3"/>
  <c r="E7" i="3"/>
  <c r="C8" i="3"/>
  <c r="C7" i="3"/>
  <c r="B44" i="8"/>
  <c r="C44" i="8"/>
  <c r="C43" i="8"/>
  <c r="B43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I16" i="8"/>
  <c r="J16" i="8"/>
  <c r="D14" i="4"/>
  <c r="F15" i="7"/>
  <c r="F16" i="7" s="1"/>
  <c r="F17" i="7" s="1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5" i="7"/>
  <c r="D45" i="7"/>
  <c r="J14" i="7"/>
  <c r="B39" i="3"/>
  <c r="G29" i="6"/>
  <c r="D29" i="6"/>
  <c r="B47" i="3" s="1"/>
  <c r="D28" i="3" s="1"/>
  <c r="G28" i="6"/>
  <c r="G30" i="6" s="1"/>
  <c r="D30" i="6" s="1"/>
  <c r="B48" i="3" s="1"/>
  <c r="D29" i="3" s="1"/>
  <c r="B49" i="3"/>
  <c r="L14" i="6"/>
  <c r="H14" i="6"/>
  <c r="D28" i="4"/>
  <c r="E37" i="4"/>
  <c r="E36" i="4"/>
  <c r="D36" i="4"/>
  <c r="E35" i="4"/>
  <c r="D35" i="4"/>
  <c r="D37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F16" i="4"/>
  <c r="G16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F9" i="4"/>
  <c r="F19" i="4"/>
  <c r="AD1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G17" i="4"/>
  <c r="G18" i="4"/>
  <c r="H16" i="4"/>
  <c r="F17" i="4"/>
  <c r="F18" i="4"/>
  <c r="F20" i="4"/>
  <c r="F21" i="4"/>
  <c r="G19" i="4"/>
  <c r="I16" i="4"/>
  <c r="H17" i="4"/>
  <c r="H18" i="4"/>
  <c r="G20" i="4"/>
  <c r="G21" i="4"/>
  <c r="H19" i="4"/>
  <c r="I17" i="4"/>
  <c r="I18" i="4"/>
  <c r="H20" i="4"/>
  <c r="H21" i="4"/>
  <c r="I19" i="4"/>
  <c r="I20" i="4"/>
  <c r="I21" i="4"/>
  <c r="J19" i="4"/>
  <c r="J16" i="4"/>
  <c r="K16" i="4"/>
  <c r="J17" i="4"/>
  <c r="J18" i="4"/>
  <c r="J20" i="4"/>
  <c r="J21" i="4"/>
  <c r="K19" i="4"/>
  <c r="K17" i="4"/>
  <c r="K18" i="4"/>
  <c r="K20" i="4"/>
  <c r="K21" i="4"/>
  <c r="L19" i="4"/>
  <c r="L16" i="4"/>
  <c r="L17" i="4"/>
  <c r="L18" i="4"/>
  <c r="L20" i="4"/>
  <c r="L21" i="4"/>
  <c r="M19" i="4"/>
  <c r="M16" i="4"/>
  <c r="M17" i="4"/>
  <c r="M18" i="4"/>
  <c r="M20" i="4"/>
  <c r="M21" i="4"/>
  <c r="N19" i="4"/>
  <c r="N16" i="4"/>
  <c r="O16" i="4"/>
  <c r="N17" i="4"/>
  <c r="N18" i="4"/>
  <c r="N20" i="4"/>
  <c r="N21" i="4"/>
  <c r="O19" i="4"/>
  <c r="P16" i="4"/>
  <c r="O17" i="4"/>
  <c r="O18" i="4"/>
  <c r="O20" i="4"/>
  <c r="O21" i="4"/>
  <c r="P19" i="4"/>
  <c r="P17" i="4"/>
  <c r="P18" i="4"/>
  <c r="P20" i="4"/>
  <c r="P21" i="4"/>
  <c r="Q19" i="4"/>
  <c r="Q16" i="4"/>
  <c r="Q17" i="4"/>
  <c r="Q18" i="4"/>
  <c r="Q20" i="4"/>
  <c r="Q21" i="4"/>
  <c r="R19" i="4"/>
  <c r="R16" i="4"/>
  <c r="S16" i="4"/>
  <c r="R17" i="4"/>
  <c r="R18" i="4"/>
  <c r="R20" i="4"/>
  <c r="R21" i="4"/>
  <c r="S19" i="4"/>
  <c r="T16" i="4"/>
  <c r="S17" i="4"/>
  <c r="S18" i="4"/>
  <c r="S20" i="4"/>
  <c r="S21" i="4"/>
  <c r="T19" i="4"/>
  <c r="U16" i="4"/>
  <c r="T17" i="4"/>
  <c r="T18" i="4"/>
  <c r="T20" i="4"/>
  <c r="T21" i="4"/>
  <c r="U19" i="4"/>
  <c r="U17" i="4"/>
  <c r="U18" i="4"/>
  <c r="U20" i="4"/>
  <c r="U21" i="4"/>
  <c r="V19" i="4"/>
  <c r="V16" i="4"/>
  <c r="W16" i="4"/>
  <c r="V17" i="4"/>
  <c r="V18" i="4"/>
  <c r="V20" i="4"/>
  <c r="V21" i="4"/>
  <c r="W19" i="4"/>
  <c r="W17" i="4"/>
  <c r="W18" i="4"/>
  <c r="W20" i="4"/>
  <c r="W21" i="4"/>
  <c r="X19" i="4"/>
  <c r="X16" i="4"/>
  <c r="X17" i="4"/>
  <c r="X18" i="4"/>
  <c r="X20" i="4"/>
  <c r="X21" i="4"/>
  <c r="Y19" i="4"/>
  <c r="Y16" i="4"/>
  <c r="Y17" i="4"/>
  <c r="Y18" i="4"/>
  <c r="Y20" i="4"/>
  <c r="Y21" i="4"/>
  <c r="Z19" i="4"/>
  <c r="Z16" i="4"/>
  <c r="AA16" i="4"/>
  <c r="Z17" i="4"/>
  <c r="Z18" i="4"/>
  <c r="Z20" i="4"/>
  <c r="Z21" i="4"/>
  <c r="AA19" i="4"/>
  <c r="AB16" i="4"/>
  <c r="AA17" i="4"/>
  <c r="AA18" i="4"/>
  <c r="AA20" i="4"/>
  <c r="AA21" i="4"/>
  <c r="AB19" i="4"/>
  <c r="AB17" i="4"/>
  <c r="AB18" i="4"/>
  <c r="AB20" i="4"/>
  <c r="AB21" i="4"/>
  <c r="AC16" i="4"/>
  <c r="AC17" i="4"/>
  <c r="AC18" i="4"/>
  <c r="AD16" i="4"/>
  <c r="AC19" i="4"/>
  <c r="E22" i="4"/>
  <c r="AE16" i="4"/>
  <c r="AD17" i="4"/>
  <c r="AD18" i="4"/>
  <c r="AD20" i="4"/>
  <c r="AD21" i="4"/>
  <c r="AE19" i="4"/>
  <c r="AC20" i="4"/>
  <c r="AE17" i="4"/>
  <c r="AE18" i="4"/>
  <c r="AE20" i="4"/>
  <c r="AE21" i="4"/>
  <c r="AF19" i="4"/>
  <c r="AF16" i="4"/>
  <c r="AF17" i="4"/>
  <c r="AF18" i="4"/>
  <c r="AF20" i="4"/>
  <c r="AF21" i="4"/>
  <c r="AG19" i="4"/>
  <c r="AG16" i="4"/>
  <c r="AG17" i="4"/>
  <c r="AG18" i="4"/>
  <c r="AG20" i="4"/>
  <c r="AG21" i="4"/>
  <c r="AH19" i="4"/>
  <c r="AH16" i="4"/>
  <c r="AI16" i="4"/>
  <c r="AH17" i="4"/>
  <c r="AH18" i="4"/>
  <c r="AH20" i="4"/>
  <c r="AH21" i="4"/>
  <c r="AI19" i="4"/>
  <c r="AJ16" i="4"/>
  <c r="AI17" i="4"/>
  <c r="AI18" i="4"/>
  <c r="AI20" i="4"/>
  <c r="AI21" i="4"/>
  <c r="AJ19" i="4"/>
  <c r="AJ17" i="4"/>
  <c r="AJ18" i="4"/>
  <c r="AJ20" i="4"/>
  <c r="AJ21" i="4"/>
  <c r="AK19" i="4"/>
  <c r="AK16" i="4"/>
  <c r="AK17" i="4"/>
  <c r="AK18" i="4"/>
  <c r="AK20" i="4"/>
  <c r="AK21" i="4"/>
  <c r="AL19" i="4"/>
  <c r="AL16" i="4"/>
  <c r="AM16" i="4"/>
  <c r="AL17" i="4"/>
  <c r="AL18" i="4"/>
  <c r="AL20" i="4"/>
  <c r="AL21" i="4"/>
  <c r="AM19" i="4"/>
  <c r="AM17" i="4"/>
  <c r="AM18" i="4"/>
  <c r="AM20" i="4"/>
  <c r="AM21" i="4"/>
  <c r="AN19" i="4"/>
  <c r="AN16" i="4"/>
  <c r="AN17" i="4"/>
  <c r="AN18" i="4"/>
  <c r="AN20" i="4"/>
  <c r="AN21" i="4"/>
  <c r="AO19" i="4"/>
  <c r="AO16" i="4"/>
  <c r="AO17" i="4"/>
  <c r="AO18" i="4"/>
  <c r="AO20" i="4"/>
  <c r="AO21" i="4"/>
  <c r="AP19" i="4"/>
  <c r="AP16" i="4"/>
  <c r="AQ16" i="4"/>
  <c r="AP17" i="4"/>
  <c r="AP18" i="4"/>
  <c r="AP20" i="4"/>
  <c r="AP21" i="4"/>
  <c r="AQ19" i="4"/>
  <c r="AQ17" i="4"/>
  <c r="AQ18" i="4"/>
  <c r="AQ20" i="4"/>
  <c r="AQ21" i="4"/>
  <c r="AR19" i="4"/>
  <c r="AR16" i="4"/>
  <c r="AR17" i="4"/>
  <c r="AR18" i="4"/>
  <c r="AR20" i="4"/>
  <c r="AR21" i="4"/>
  <c r="AS19" i="4"/>
  <c r="AS16" i="4"/>
  <c r="AS17" i="4"/>
  <c r="AS18" i="4"/>
  <c r="AS20" i="4"/>
  <c r="AS21" i="4"/>
  <c r="AT19" i="4"/>
  <c r="AT16" i="4"/>
  <c r="AU16" i="4"/>
  <c r="AT17" i="4"/>
  <c r="AT18" i="4"/>
  <c r="AT20" i="4"/>
  <c r="AT21" i="4"/>
  <c r="AU19" i="4"/>
  <c r="AV16" i="4"/>
  <c r="AU17" i="4"/>
  <c r="AU18" i="4"/>
  <c r="AU20" i="4"/>
  <c r="AU21" i="4"/>
  <c r="AV19" i="4"/>
  <c r="AW16" i="4"/>
  <c r="AV17" i="4"/>
  <c r="AV18" i="4"/>
  <c r="AV20" i="4"/>
  <c r="AV21" i="4"/>
  <c r="AW19" i="4"/>
  <c r="AW17" i="4"/>
  <c r="AW18" i="4"/>
  <c r="AW20" i="4"/>
  <c r="AW21" i="4"/>
  <c r="AX19" i="4"/>
  <c r="AX16" i="4"/>
  <c r="AY16" i="4"/>
  <c r="AX17" i="4"/>
  <c r="AX18" i="4"/>
  <c r="AX20" i="4"/>
  <c r="AX21" i="4"/>
  <c r="AY19" i="4"/>
  <c r="AY17" i="4"/>
  <c r="AY18" i="4"/>
  <c r="AY20" i="4"/>
  <c r="AY21" i="4"/>
  <c r="AZ19" i="4"/>
  <c r="AZ16" i="4"/>
  <c r="AZ17" i="4"/>
  <c r="AZ18" i="4"/>
  <c r="AZ20" i="4"/>
  <c r="AZ21" i="4"/>
  <c r="BA19" i="4"/>
  <c r="BA16" i="4"/>
  <c r="BA17" i="4"/>
  <c r="BA18" i="4"/>
  <c r="BA20" i="4"/>
  <c r="BA21" i="4"/>
  <c r="BB19" i="4"/>
  <c r="BB16" i="4"/>
  <c r="BC16" i="4"/>
  <c r="BB17" i="4"/>
  <c r="BB18" i="4"/>
  <c r="BB20" i="4"/>
  <c r="BB21" i="4"/>
  <c r="BC19" i="4"/>
  <c r="BC17" i="4"/>
  <c r="BC18" i="4"/>
  <c r="BC20" i="4"/>
  <c r="BC21" i="4"/>
  <c r="BD19" i="4"/>
  <c r="BD16" i="4"/>
  <c r="BE16" i="4"/>
  <c r="BD17" i="4"/>
  <c r="BD18" i="4"/>
  <c r="BD20" i="4"/>
  <c r="BD21" i="4"/>
  <c r="BE19" i="4"/>
  <c r="BE17" i="4"/>
  <c r="BE18" i="4"/>
  <c r="BE20" i="4"/>
  <c r="BE21" i="4"/>
  <c r="BF19" i="4"/>
  <c r="BF16" i="4"/>
  <c r="BG16" i="4"/>
  <c r="BG17" i="4"/>
  <c r="BG18" i="4"/>
  <c r="BF17" i="4"/>
  <c r="BF18" i="4"/>
  <c r="BF20" i="4"/>
  <c r="BF21" i="4"/>
  <c r="BG19" i="4"/>
  <c r="BG20" i="4"/>
  <c r="BG21" i="4"/>
  <c r="F18" i="7" l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5" i="7"/>
  <c r="L46" i="7" s="1"/>
  <c r="B50" i="3" s="1"/>
  <c r="C14" i="3"/>
  <c r="C37" i="3" s="1"/>
  <c r="B16" i="3"/>
  <c r="B18" i="3" s="1"/>
  <c r="B19" i="3" s="1"/>
  <c r="B33" i="3"/>
  <c r="B35" i="3"/>
  <c r="B38" i="3" s="1"/>
  <c r="B40" i="3" s="1"/>
  <c r="B41" i="8"/>
  <c r="C47" i="8"/>
  <c r="C49" i="8" s="1"/>
  <c r="C26" i="3" s="1"/>
  <c r="E47" i="8"/>
  <c r="E49" i="8" s="1"/>
  <c r="D26" i="3" s="1"/>
  <c r="C34" i="3"/>
  <c r="C35" i="3" s="1"/>
  <c r="C38" i="3" s="1"/>
  <c r="C12" i="3"/>
  <c r="C16" i="3" s="1"/>
  <c r="C24" i="3" s="1"/>
  <c r="B20" i="3" l="1"/>
  <c r="C17" i="3"/>
  <c r="C18" i="3" l="1"/>
  <c r="C25" i="3"/>
  <c r="C30" i="3" s="1"/>
  <c r="C39" i="3"/>
  <c r="C40" i="3" s="1"/>
  <c r="C20" i="3" l="1"/>
  <c r="C19" i="3"/>
  <c r="L16" i="8" l="1"/>
  <c r="K16" i="8" l="1"/>
  <c r="D14" i="3" l="1"/>
  <c r="D11" i="3" l="1"/>
  <c r="D37" i="3"/>
  <c r="E14" i="3"/>
  <c r="D13" i="3"/>
  <c r="D36" i="3" l="1"/>
  <c r="E13" i="3"/>
  <c r="D34" i="3"/>
  <c r="E11" i="3"/>
  <c r="D15" i="3" l="1"/>
  <c r="E15" i="3" s="1"/>
  <c r="D10" i="3" l="1"/>
  <c r="D12" i="3" s="1"/>
  <c r="D16" i="3" s="1"/>
  <c r="E10" i="3" l="1"/>
  <c r="E12" i="3" s="1"/>
  <c r="E16" i="3" s="1"/>
  <c r="D33" i="3"/>
  <c r="D35" i="3" s="1"/>
  <c r="D38" i="3" s="1"/>
  <c r="D24" i="3"/>
  <c r="D17" i="3"/>
  <c r="D18" i="3" s="1"/>
  <c r="D20" i="3" l="1"/>
  <c r="D19" i="3"/>
  <c r="D25" i="3"/>
  <c r="D30" i="3" s="1"/>
  <c r="E17" i="3"/>
  <c r="E18" i="3" s="1"/>
  <c r="D39" i="3"/>
  <c r="D40" i="3" s="1"/>
</calcChain>
</file>

<file path=xl/comments1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sz val="9"/>
            <color indexed="81"/>
            <rFont val="Tahoma"/>
            <family val="2"/>
          </rPr>
          <t>Use calculations from Fng Model run as it's unclear whether the above calculations capture ALL the stand alone impacts capex changes have on CPVRR.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P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 Miller 6/4/15, only degrade through 2030 as that is the last year we have non generic (Nuclear) generation in our plan.  Post 2030, the next unit is a generic unit which would be affected by solar firm capacity.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P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 Miller 6/4/15, only degrade through 2030 as that is the last year we have non generic (Nuclear) generation in our plan.  Post 2030, the next unit is a generic unit which would be affected by solar firm capacity.</t>
        </r>
      </text>
    </comment>
  </commentList>
</comments>
</file>

<file path=xl/sharedStrings.xml><?xml version="1.0" encoding="utf-8"?>
<sst xmlns="http://schemas.openxmlformats.org/spreadsheetml/2006/main" count="464" uniqueCount="261">
  <si>
    <t>AFUDC</t>
  </si>
  <si>
    <t>(4)</t>
  </si>
  <si>
    <t>BOS</t>
  </si>
  <si>
    <t>Modules</t>
  </si>
  <si>
    <t>Total E&amp;C</t>
  </si>
  <si>
    <t>Transmission</t>
  </si>
  <si>
    <t>SUBTOTAL</t>
  </si>
  <si>
    <t>GRAND TOTAL</t>
  </si>
  <si>
    <t>Contingency</t>
  </si>
  <si>
    <t>Development/Ops</t>
  </si>
  <si>
    <t>REVISED CPVRR: Estimated</t>
  </si>
  <si>
    <t>MAP 2/4/15</t>
  </si>
  <si>
    <t>Adjust module price from $0.57 to $0.586/wdc.</t>
  </si>
  <si>
    <t>MAP CPVRR did not include AFUDC.</t>
  </si>
  <si>
    <t>INPUTS</t>
  </si>
  <si>
    <t xml:space="preserve">Monthly rate post 1/1/04 ==&gt; </t>
  </si>
  <si>
    <t>not used</t>
  </si>
  <si>
    <t xml:space="preserve">Monthly rate pre 1/1/04 ==&gt; </t>
  </si>
  <si>
    <t xml:space="preserve">Blended Rate for Budget purposes ==&gt; </t>
  </si>
  <si>
    <t xml:space="preserve">Date Capital ER established (MM/DD/YY) ==&gt; </t>
  </si>
  <si>
    <t xml:space="preserve"> ==&gt; Enter trigger date as 1st day of month</t>
  </si>
  <si>
    <t xml:space="preserve">Date Commercial Ops declared (MM/DD/YY) ==&gt; </t>
  </si>
  <si>
    <t xml:space="preserve">AFUDC Annual Rate ==&gt; </t>
  </si>
  <si>
    <t xml:space="preserve"> ==&gt; Per FPL EDM Model</t>
  </si>
  <si>
    <t xml:space="preserve">Monthly AFUDC Rate Applied ==&gt; </t>
  </si>
  <si>
    <t xml:space="preserve">Calculated AFUDC  </t>
  </si>
  <si>
    <t>Monthly Expenditures Totals: Accrual Based  (excludes demolition)</t>
  </si>
  <si>
    <t xml:space="preserve">Monthly Expenditures Totals: Cash Based  </t>
  </si>
  <si>
    <t xml:space="preserve">Expenditure Balance at End of Month  </t>
  </si>
  <si>
    <t xml:space="preserve">Average Plant in Service (Beg. + End)/2  </t>
  </si>
  <si>
    <t xml:space="preserve">Applied AFUDC For the Month  </t>
  </si>
  <si>
    <t xml:space="preserve">Applied AFUDC on Prior Month cumulative Balance  </t>
  </si>
  <si>
    <t xml:space="preserve">Total AFUDC for Month  </t>
  </si>
  <si>
    <t xml:space="preserve">Cumulative AFUDC  </t>
  </si>
  <si>
    <t xml:space="preserve">Cumulative AFUDC Calc ==&gt; </t>
  </si>
  <si>
    <t>AFUDC Per Simmons</t>
  </si>
  <si>
    <t>Total AFUDC Calc'd</t>
  </si>
  <si>
    <t>30% module/30% Inverter downpymnt</t>
  </si>
  <si>
    <t>(1)</t>
  </si>
  <si>
    <t>50% module/10% Inverter downpymnt</t>
  </si>
  <si>
    <t>(2)</t>
  </si>
  <si>
    <t>0% module/0% Inverter downpymnt (NEER pays downpymnt)</t>
  </si>
  <si>
    <t>10% module/10% Inverter downpymnt (First Solar)</t>
  </si>
  <si>
    <t>(3)</t>
  </si>
  <si>
    <t>30% module/10% Inverter downpymnt (First Solar)</t>
  </si>
  <si>
    <t>AFUDC Factor to Base Case (Case 1)</t>
  </si>
  <si>
    <t>Reduced base upon which 5% contingency applied.</t>
  </si>
  <si>
    <t>Current Var Over/ (Under) MAP</t>
  </si>
  <si>
    <t>Variance Explanation: Current to MAP</t>
  </si>
  <si>
    <t>Module Decision 3/20/15</t>
  </si>
  <si>
    <t>ESTIMATED CAPEX and CPVRR WALK ($MM)</t>
  </si>
  <si>
    <t>(1)  MAP capex estimates included a $0.05/wdc target BOS reduction (~ $16.8M for the 3 pack) yet to be identified.</t>
  </si>
  <si>
    <t xml:space="preserve">       $0.05/wdc target reduction realized within current E&amp;C capex estimate.</t>
  </si>
  <si>
    <r>
      <t xml:space="preserve">Per 100 bp </t>
    </r>
    <r>
      <rPr>
        <sz val="11"/>
        <color theme="1"/>
        <rFont val="Calibri"/>
        <family val="2"/>
      </rPr>
      <t>Δ in NCF</t>
    </r>
  </si>
  <si>
    <t>Per 100 bp Δ in FCV</t>
  </si>
  <si>
    <t>DRAFT</t>
  </si>
  <si>
    <t>System Assumptions:</t>
  </si>
  <si>
    <t>- Load forecast = October 1, 2013</t>
  </si>
  <si>
    <t>- Turkey Point 6 and 7 in-service 2026 &amp; 2027</t>
  </si>
  <si>
    <t>- Cedar Bay retired</t>
  </si>
  <si>
    <t>- No GT replacement</t>
  </si>
  <si>
    <t>- Putnam retires in 2015</t>
  </si>
  <si>
    <t>Capacity AC- MW</t>
  </si>
  <si>
    <t>Panel Manufacturer</t>
  </si>
  <si>
    <t>Orientation</t>
  </si>
  <si>
    <t>Type</t>
  </si>
  <si>
    <t>DC/AC ratio</t>
  </si>
  <si>
    <t>In-service date</t>
  </si>
  <si>
    <t>FCV (% of nameplate)</t>
  </si>
  <si>
    <t>Capacity Factor (1st year)</t>
  </si>
  <si>
    <t>Annual Degradation %</t>
  </si>
  <si>
    <t>All-in Project Cost $ (dec 2016 i/s d)</t>
  </si>
  <si>
    <t>$/kWac</t>
  </si>
  <si>
    <t>O&amp;M Cost $/kW (2014)</t>
  </si>
  <si>
    <t>Sun Ed</t>
  </si>
  <si>
    <t>South West 195</t>
  </si>
  <si>
    <t>Fixed</t>
  </si>
  <si>
    <t xml:space="preserve">Revised # ==&gt; </t>
  </si>
  <si>
    <t>CPVRR  $ Millions 2014</t>
  </si>
  <si>
    <t>Results from Optimization run</t>
  </si>
  <si>
    <t>Change degradation to .3%</t>
  </si>
  <si>
    <t>Reflect tax abatement</t>
  </si>
  <si>
    <t>Reduction in Capital Cost from $137M to $134M</t>
  </si>
  <si>
    <t>1% increase in capacity factor</t>
  </si>
  <si>
    <t>(from 23 to 24 %)</t>
  </si>
  <si>
    <t>5% increase in firm capacity value</t>
  </si>
  <si>
    <t>(from 34 MW to 36 MW)</t>
  </si>
  <si>
    <t>Sensitivities</t>
  </si>
  <si>
    <t>FCV @ 34 MW</t>
  </si>
  <si>
    <t>FCV @ 36 MW</t>
  </si>
  <si>
    <t>Delta FCV</t>
  </si>
  <si>
    <r>
      <t xml:space="preserve">Economics of DeSoto 75 MW </t>
    </r>
    <r>
      <rPr>
        <b/>
        <vertAlign val="subscript"/>
        <sz val="16"/>
        <color theme="1"/>
        <rFont val="Calibri"/>
        <family val="2"/>
        <scheme val="minor"/>
      </rPr>
      <t>AC</t>
    </r>
    <r>
      <rPr>
        <b/>
        <sz val="16"/>
        <color theme="1"/>
        <rFont val="Calibri"/>
        <family val="2"/>
        <scheme val="minor"/>
      </rPr>
      <t xml:space="preserve"> installation, 1.3 </t>
    </r>
    <r>
      <rPr>
        <b/>
        <vertAlign val="subscript"/>
        <sz val="16"/>
        <color theme="1"/>
        <rFont val="Calibri"/>
        <family val="2"/>
        <scheme val="minor"/>
      </rPr>
      <t>DC/AC</t>
    </r>
    <r>
      <rPr>
        <b/>
        <sz val="16"/>
        <color theme="1"/>
        <rFont val="Calibri"/>
        <family val="2"/>
        <scheme val="minor"/>
      </rPr>
      <t xml:space="preserve"> SW 195 </t>
    </r>
    <r>
      <rPr>
        <b/>
        <vertAlign val="subscript"/>
        <sz val="16"/>
        <color theme="1"/>
        <rFont val="Calibri"/>
        <family val="2"/>
        <scheme val="minor"/>
      </rPr>
      <t>deg</t>
    </r>
  </si>
  <si>
    <r>
      <t xml:space="preserve">$MM CPVRR </t>
    </r>
    <r>
      <rPr>
        <sz val="11"/>
        <color theme="1"/>
        <rFont val="Calibri"/>
        <family val="2"/>
      </rPr>
      <t>Δ per $1MM Δ in capex</t>
    </r>
  </si>
  <si>
    <r>
      <t xml:space="preserve">$MM CPVRR </t>
    </r>
    <r>
      <rPr>
        <sz val="11"/>
        <color theme="1"/>
        <rFont val="Calibri"/>
        <family val="2"/>
      </rPr>
      <t>Δ per 100 bp Δ in NCF</t>
    </r>
  </si>
  <si>
    <r>
      <t xml:space="preserve">$MM CPVRR </t>
    </r>
    <r>
      <rPr>
        <sz val="11"/>
        <color theme="1"/>
        <rFont val="Calibri"/>
        <family val="2"/>
      </rPr>
      <t>Δ per 100 bp Δ in Capacity Value</t>
    </r>
  </si>
  <si>
    <t>BOS (Including Contingency)</t>
  </si>
  <si>
    <t>SUBTOTAL E&amp;C</t>
  </si>
  <si>
    <t>SUBTOTAL Direct Capex</t>
  </si>
  <si>
    <t>Per $1/kWyr levelized O&amp;M</t>
  </si>
  <si>
    <t>Per $1M Δ in Capex</t>
  </si>
  <si>
    <t>CPVRR estimated based on below sensitivities.</t>
  </si>
  <si>
    <t>Current CAPEX 7/10/15</t>
  </si>
  <si>
    <t>Based on final (July 2015) T&amp;S budget.</t>
  </si>
  <si>
    <t>Based on July 2015 refresh of Devl/Ops budgets.</t>
  </si>
  <si>
    <r>
      <t xml:space="preserve">Adjusted to reflect July 2015 estimated EPC pricing. </t>
    </r>
    <r>
      <rPr>
        <vertAlign val="superscript"/>
        <sz val="11"/>
        <color theme="1"/>
        <rFont val="Calibri"/>
        <family val="2"/>
        <scheme val="minor"/>
      </rPr>
      <t>(1)</t>
    </r>
  </si>
  <si>
    <t>(2)  All AFUDC estimates assume module cash outflows occur net 15 days after module delivery.</t>
  </si>
  <si>
    <t>$/wdc Summary (3 Project Portfolio)</t>
  </si>
  <si>
    <t>CAPEX (3 Project Portfolio)</t>
  </si>
  <si>
    <t>SOURCE: ENJAMIO 5/13/15 E-MAIL</t>
  </si>
  <si>
    <t>If we convert the O&amp;M budget provided by PGD into a starting point (in $/KW) that escalates at 2.5% a year and that yields</t>
  </si>
  <si>
    <r>
      <t>the same NPV as the PGD budget we come up with</t>
    </r>
    <r>
      <rPr>
        <b/>
        <sz val="14"/>
        <color theme="1"/>
        <rFont val="Calibri"/>
        <family val="2"/>
        <scheme val="minor"/>
      </rPr>
      <t xml:space="preserve"> 6.80 $/KW</t>
    </r>
  </si>
  <si>
    <r>
      <t>If we reduce that value by 1 $/KW (to 5.8 $/KW) the CPVRR is reduced by</t>
    </r>
    <r>
      <rPr>
        <b/>
        <sz val="14"/>
        <color theme="1"/>
        <rFont val="Calibri"/>
        <family val="2"/>
        <scheme val="minor"/>
      </rPr>
      <t xml:space="preserve"> $1.05 </t>
    </r>
    <r>
      <rPr>
        <sz val="14"/>
        <color theme="1"/>
        <rFont val="Calibri"/>
        <family val="2"/>
        <scheme val="minor"/>
      </rPr>
      <t>million CPVRR</t>
    </r>
  </si>
  <si>
    <t xml:space="preserve">Provided </t>
  </si>
  <si>
    <t>escalation=2.5%</t>
  </si>
  <si>
    <t>by PGD</t>
  </si>
  <si>
    <t xml:space="preserve">Levelized to a starting point </t>
  </si>
  <si>
    <t>1-74.5 MW PV</t>
  </si>
  <si>
    <t>used in the analysis</t>
  </si>
  <si>
    <t>and escalating at 2.5% a year</t>
  </si>
  <si>
    <t xml:space="preserve">Starting point redeuced </t>
  </si>
  <si>
    <t>O&amp;M</t>
  </si>
  <si>
    <t>by $1/KW</t>
  </si>
  <si>
    <t>Un-escalated</t>
  </si>
  <si>
    <t>[5.8 $/KW]</t>
  </si>
  <si>
    <t>2016 $</t>
  </si>
  <si>
    <t>Nominal</t>
  </si>
  <si>
    <t>$million</t>
  </si>
  <si>
    <t>2017 value converted</t>
  </si>
  <si>
    <t>$/KW</t>
  </si>
  <si>
    <t>to $/KW</t>
  </si>
  <si>
    <t>escalating at 2.5% a year</t>
  </si>
  <si>
    <t>NPV 2015</t>
  </si>
  <si>
    <t>TOTAL</t>
  </si>
  <si>
    <t>CAPEX</t>
  </si>
  <si>
    <t>CPVRR Walk from MAP (3 Project Portfolio)</t>
  </si>
  <si>
    <t>GRAND TOTAL CAPEX</t>
  </si>
  <si>
    <t>(Attorney-Client Work Product)</t>
  </si>
  <si>
    <t>SOURCE: ENJAMIO 3/6/15 E-MAIL</t>
  </si>
  <si>
    <t>Solar O&amp;M: 1-74 MW Project</t>
  </si>
  <si>
    <t>Previous</t>
  </si>
  <si>
    <t>Current</t>
  </si>
  <si>
    <t>Capital</t>
  </si>
  <si>
    <t>Year</t>
  </si>
  <si>
    <t>$</t>
  </si>
  <si>
    <t>Total for one site</t>
  </si>
  <si>
    <t>reduction for one site</t>
  </si>
  <si>
    <t>reduction for three sites</t>
  </si>
  <si>
    <t xml:space="preserve">NPV = </t>
  </si>
  <si>
    <t>with 7.51% DR</t>
  </si>
  <si>
    <t>Starting Point CPVRR (Estimated)</t>
  </si>
  <si>
    <t>Adjust AFUDC</t>
  </si>
  <si>
    <t>Adjust O&amp;M Budget</t>
  </si>
  <si>
    <t>Adjust Property Tax Abatements</t>
  </si>
  <si>
    <t>Net Capacity Factor (NCF)</t>
  </si>
  <si>
    <t>Fixed Capacity Value (FCV)</t>
  </si>
  <si>
    <t>Adjust to reflect Hanwha .pan files.</t>
  </si>
  <si>
    <t>Increase in NCF with Hanwha .pan files.</t>
  </si>
  <si>
    <t>Adjust Base Capex</t>
  </si>
  <si>
    <t>Adjust NCF</t>
  </si>
  <si>
    <t>Adjust FCV</t>
  </si>
  <si>
    <t>Manatee</t>
  </si>
  <si>
    <t>Citrus &amp; Babcock</t>
  </si>
  <si>
    <t>CPVRR Multiplier</t>
  </si>
  <si>
    <t>NPV For 3 Projects</t>
  </si>
  <si>
    <t>CPVRR For 3 Projects</t>
  </si>
  <si>
    <t>FPLC - DeSoto, Florida</t>
  </si>
  <si>
    <t>Lat: N 27.3 ; Lon: W 81.8  (WGS84)</t>
  </si>
  <si>
    <t>Axis Tilt</t>
  </si>
  <si>
    <t>F20</t>
  </si>
  <si>
    <t>degrees</t>
  </si>
  <si>
    <t>Azimuth</t>
  </si>
  <si>
    <t>AC Size</t>
  </si>
  <si>
    <t>MW</t>
  </si>
  <si>
    <t>DC to AC Ratio</t>
  </si>
  <si>
    <t>Net Capacity Factor - SunEdison 345W  -  F20  -  SMA 750CP-US</t>
  </si>
  <si>
    <t>Column Labels</t>
  </si>
  <si>
    <t>Row Labels</t>
  </si>
  <si>
    <t>Grand Total</t>
  </si>
  <si>
    <t>Name</t>
  </si>
  <si>
    <t>Loss (%)</t>
  </si>
  <si>
    <t>Transposition on POA</t>
  </si>
  <si>
    <t>Shading</t>
  </si>
  <si>
    <t>IAM Factor</t>
  </si>
  <si>
    <t>Temperature</t>
  </si>
  <si>
    <t>Irradiance</t>
  </si>
  <si>
    <t>Soiling</t>
  </si>
  <si>
    <t>Module Quality</t>
  </si>
  <si>
    <t>Module Mismatch</t>
  </si>
  <si>
    <t xml:space="preserve">DC Wiring </t>
  </si>
  <si>
    <t>Inverter Efficiency</t>
  </si>
  <si>
    <t>Inverter Clipping</t>
  </si>
  <si>
    <t>Inverter Voltage</t>
  </si>
  <si>
    <t>AC Wiring</t>
  </si>
  <si>
    <t>MV Transformer</t>
  </si>
  <si>
    <t>HV Transformer</t>
  </si>
  <si>
    <t>SOURCE: ECCLESTON 7/14/15 E-MAIL</t>
  </si>
  <si>
    <t xml:space="preserve">FCV ==&gt; </t>
  </si>
  <si>
    <t>Source: Applicable Excel file attached to Kristen Bradford 6/1/15 e-mail.</t>
  </si>
  <si>
    <t>FPLC - Citrus, FL</t>
  </si>
  <si>
    <t>Degraded</t>
  </si>
  <si>
    <t>Net Capacity Factor - Hanwha 325W  -  F20  -  GE ProSolar 2MW</t>
  </si>
  <si>
    <t>Month 8</t>
  </si>
  <si>
    <t>Hour 17</t>
  </si>
  <si>
    <t>DC Wiring</t>
  </si>
  <si>
    <t>74 MW SOLAR PV O&amp;M - FIXED TILT</t>
  </si>
  <si>
    <t>Project MW</t>
  </si>
  <si>
    <t>Inflation</t>
  </si>
  <si>
    <t>WACC</t>
  </si>
  <si>
    <t># years</t>
  </si>
  <si>
    <t>DECEMBER 2014 PGD ESTIMATE</t>
  </si>
  <si>
    <t>O&amp;M ($)</t>
  </si>
  <si>
    <t>2014$</t>
  </si>
  <si>
    <t>O&amp;M ($/kW)</t>
  </si>
  <si>
    <t>30 year avgerage O&amp;M ($/kW)</t>
  </si>
  <si>
    <t>30 year PV O&amp;M ($ MM)</t>
  </si>
  <si>
    <t xml:space="preserve"> --&gt; for one 74 MW site</t>
  </si>
  <si>
    <r>
      <t xml:space="preserve"> --&gt; for </t>
    </r>
    <r>
      <rPr>
        <i/>
        <sz val="11"/>
        <rFont val="Calibri"/>
        <family val="2"/>
      </rPr>
      <t>three</t>
    </r>
    <r>
      <rPr>
        <sz val="11"/>
        <rFont val="Calibri"/>
        <family val="2"/>
      </rPr>
      <t xml:space="preserve"> 74 MW sites</t>
    </r>
  </si>
  <si>
    <t>MANATEE MW SOLAR PV O&amp;M - FIXED TILT</t>
  </si>
  <si>
    <t>Inputs in red font</t>
  </si>
  <si>
    <t>COD Dec 2016</t>
  </si>
  <si>
    <t>30 year average O&amp;M ($/kW)</t>
  </si>
  <si>
    <t>CapEx</t>
  </si>
  <si>
    <t>CapEx ($)</t>
  </si>
  <si>
    <t>CapEx ($/kW)</t>
  </si>
  <si>
    <t>30 year average CapEx ($/kW)</t>
  </si>
  <si>
    <t>30 year PV CapEx ($ MM)</t>
  </si>
  <si>
    <t>FC SS Inputs:</t>
  </si>
  <si>
    <t>(M$)</t>
  </si>
  <si>
    <t>CITRUS &amp; BABCOCK 74 MW SOLAR PV O&amp;M - FIXED TILT</t>
  </si>
  <si>
    <t>$/kW-yr</t>
  </si>
  <si>
    <t>MAP</t>
  </si>
  <si>
    <t>FEBRUARY 2015 PGD ESTIMATE</t>
  </si>
  <si>
    <t>Delta from MAP</t>
  </si>
  <si>
    <t>Based on 7/17/15 Executive presentation deck.</t>
  </si>
  <si>
    <t>CPVRR Sensitivities (Per Project)</t>
  </si>
  <si>
    <t>TOTAL CAPEX ($/wdc)</t>
  </si>
  <si>
    <t>TOTAL CAPEX ($/kWac)</t>
  </si>
  <si>
    <t>Source: Results - Economics of DeSoto 75 MW AC Installation 1 3 DC-AC South West 195 deg_10-20-14.xlsx attached to 10/20/14 Chad Little E-mail</t>
  </si>
  <si>
    <t xml:space="preserve">Monthly % Per Above ==&gt; </t>
  </si>
  <si>
    <t xml:space="preserve">Cumulative % Per Above ==&gt; </t>
  </si>
  <si>
    <t xml:space="preserve">Monthly % Per 3 Pack B-4's ==&gt; </t>
  </si>
  <si>
    <t xml:space="preserve">Cumulative % Per 3 Pack B-4's ==&gt; </t>
  </si>
  <si>
    <t xml:space="preserve">Cumulative B-4's over/(under) Above ==&gt; </t>
  </si>
  <si>
    <t>DC/AC Ratio</t>
  </si>
  <si>
    <t># of Inverters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</si>
  <si>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Azimuth</t>
    </r>
  </si>
  <si>
    <t>CURRENT (7/10/15)</t>
  </si>
  <si>
    <t>@ 3/20/15</t>
  </si>
  <si>
    <t xml:space="preserve">with 7.54% DR (DR assumed in 2/4/15 executive presentation deck…MAP) </t>
  </si>
  <si>
    <t>September View</t>
  </si>
  <si>
    <r>
      <t xml:space="preserve">Need to confirm with FNG. </t>
    </r>
    <r>
      <rPr>
        <vertAlign val="superscript"/>
        <sz val="11"/>
        <color theme="1"/>
        <rFont val="Calibri"/>
        <family val="2"/>
        <scheme val="minor"/>
      </rPr>
      <t>(2)</t>
    </r>
  </si>
  <si>
    <t>OPC 002156                                         FPL RC-16</t>
  </si>
  <si>
    <t>OPC 002157    FPL RC-16</t>
  </si>
  <si>
    <t>OPC 002158 FPL RC-16</t>
  </si>
  <si>
    <t>OPC 002159    FPL RC-16</t>
  </si>
  <si>
    <t>OPC 002160  FPL RC-16</t>
  </si>
  <si>
    <t>OPC 002161  FPL RC-16</t>
  </si>
  <si>
    <t>OPC 002162                                                                                   FPL RC-16</t>
  </si>
  <si>
    <t>OPC 002163          FPL RC-16</t>
  </si>
  <si>
    <t>OPC 002164     FPL RC-16</t>
  </si>
  <si>
    <t>OPC 002165                                                                                      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</si>
</sst>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0.000000"/>
    <numFmt numFmtId="166" formatCode="mm/dd/yy;@"/>
    <numFmt numFmtId="167" formatCode="[$-409]mmm\-yy;@"/>
    <numFmt numFmtId="168" formatCode="0.0"/>
    <numFmt numFmtId="169" formatCode="m/d/yy;@"/>
    <numFmt numFmtId="170" formatCode="&quot;$&quot;#,##0"/>
    <numFmt numFmtId="171" formatCode="0.00_);\(0.00\)"/>
    <numFmt numFmtId="172" formatCode="0.000"/>
    <numFmt numFmtId="173" formatCode="&quot;$&quot;#,##0.00"/>
    <numFmt numFmtId="174" formatCode="0\ &quot;$&quot;"/>
    <numFmt numFmtId="175" formatCode="&quot;$&quot;#,##0.00\ &quot;/kW&quot;"/>
    <numFmt numFmtId="176" formatCode="&quot;$&quot;#,##0.0\ &quot;MM&quot;"/>
    <numFmt numFmtId="177" formatCode="0_);\(0\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color rgb="FF00206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u/>
      <sz val="14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234">
    <xf numFmtId="0" fontId="0" fillId="0" borderId="0" xfId="0"/>
    <xf numFmtId="164" fontId="0" fillId="0" borderId="0" xfId="0" applyNumberFormat="1"/>
    <xf numFmtId="0" fontId="3" fillId="0" borderId="0" xfId="0" applyFont="1"/>
    <xf numFmtId="8" fontId="0" fillId="0" borderId="0" xfId="0" applyNumberFormat="1"/>
    <xf numFmtId="8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0" fontId="0" fillId="0" borderId="0" xfId="0" quotePrefix="1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164" fontId="0" fillId="0" borderId="3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0" fillId="0" borderId="0" xfId="0" quotePrefix="1" applyAlignment="1">
      <alignment vertical="top"/>
    </xf>
    <xf numFmtId="0" fontId="0" fillId="0" borderId="7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Alignment="1" applyProtection="1">
      <protection locked="0"/>
    </xf>
    <xf numFmtId="0" fontId="7" fillId="0" borderId="11" xfId="0" applyNumberFormat="1" applyFont="1" applyBorder="1" applyAlignment="1" applyProtection="1">
      <alignment horizontal="right"/>
      <protection locked="0"/>
    </xf>
    <xf numFmtId="165" fontId="7" fillId="0" borderId="12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protection locked="0"/>
    </xf>
    <xf numFmtId="0" fontId="6" fillId="0" borderId="13" xfId="0" applyNumberFormat="1" applyFont="1" applyBorder="1" applyAlignment="1" applyProtection="1">
      <protection locked="0"/>
    </xf>
    <xf numFmtId="165" fontId="7" fillId="0" borderId="12" xfId="2" applyNumberFormat="1" applyFont="1" applyFill="1" applyBorder="1" applyAlignment="1" applyProtection="1">
      <alignment horizontal="center" vertical="center"/>
      <protection locked="0"/>
    </xf>
    <xf numFmtId="6" fontId="7" fillId="0" borderId="11" xfId="0" applyNumberFormat="1" applyFont="1" applyBorder="1" applyAlignment="1" applyProtection="1">
      <alignment horizontal="right"/>
      <protection locked="0"/>
    </xf>
    <xf numFmtId="167" fontId="6" fillId="0" borderId="0" xfId="2" applyNumberFormat="1" applyFont="1" applyFill="1" applyBorder="1" applyAlignment="1" applyProtection="1">
      <alignment horizontal="center"/>
      <protection locked="0"/>
    </xf>
    <xf numFmtId="167" fontId="6" fillId="0" borderId="13" xfId="2" applyNumberFormat="1" applyFont="1" applyFill="1" applyBorder="1" applyAlignment="1" applyProtection="1">
      <alignment horizontal="center"/>
      <protection locked="0"/>
    </xf>
    <xf numFmtId="0" fontId="7" fillId="0" borderId="14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horizontal="right"/>
      <protection locked="0"/>
    </xf>
    <xf numFmtId="1" fontId="7" fillId="0" borderId="6" xfId="0" applyNumberFormat="1" applyFont="1" applyFill="1" applyBorder="1" applyAlignment="1" applyProtection="1">
      <alignment horizontal="center"/>
    </xf>
    <xf numFmtId="166" fontId="7" fillId="0" borderId="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Alignment="1" applyProtection="1"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6" fontId="7" fillId="0" borderId="0" xfId="3" applyNumberFormat="1" applyFont="1" applyFill="1" applyBorder="1" applyAlignment="1" applyProtection="1">
      <alignment horizontal="right"/>
      <protection locked="0"/>
    </xf>
    <xf numFmtId="6" fontId="7" fillId="0" borderId="0" xfId="0" applyNumberFormat="1" applyFont="1" applyBorder="1" applyAlignment="1" applyProtection="1">
      <protection locked="0"/>
    </xf>
    <xf numFmtId="6" fontId="7" fillId="0" borderId="0" xfId="0" applyNumberFormat="1" applyFont="1" applyFill="1" applyBorder="1" applyAlignment="1" applyProtection="1">
      <alignment horizontal="right"/>
      <protection locked="0"/>
    </xf>
    <xf numFmtId="6" fontId="7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right"/>
      <protection locked="0"/>
    </xf>
    <xf numFmtId="6" fontId="8" fillId="0" borderId="0" xfId="0" applyNumberFormat="1" applyFont="1" applyAlignment="1" applyProtection="1">
      <protection locked="0"/>
    </xf>
    <xf numFmtId="6" fontId="8" fillId="0" borderId="0" xfId="0" applyNumberFormat="1" applyFont="1" applyBorder="1" applyAlignment="1" applyProtection="1">
      <alignment horizontal="right"/>
      <protection locked="0"/>
    </xf>
    <xf numFmtId="6" fontId="8" fillId="0" borderId="0" xfId="0" applyNumberFormat="1" applyFont="1" applyAlignment="1" applyProtection="1">
      <alignment horizontal="right"/>
      <protection locked="0"/>
    </xf>
    <xf numFmtId="6" fontId="8" fillId="0" borderId="7" xfId="0" applyNumberFormat="1" applyFont="1" applyBorder="1" applyAlignment="1" applyProtection="1">
      <alignment horizontal="right"/>
      <protection locked="0"/>
    </xf>
    <xf numFmtId="0" fontId="7" fillId="0" borderId="0" xfId="0" applyNumberFormat="1" applyFont="1" applyBorder="1" applyAlignment="1" applyProtection="1">
      <protection locked="0"/>
    </xf>
    <xf numFmtId="0" fontId="10" fillId="0" borderId="0" xfId="0" applyNumberFormat="1" applyFont="1" applyBorder="1" applyAlignment="1" applyProtection="1">
      <alignment horizontal="center" wrapText="1"/>
      <protection locked="0"/>
    </xf>
    <xf numFmtId="0" fontId="10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8" fillId="0" borderId="0" xfId="0" quotePrefix="1" applyNumberFormat="1" applyFont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right"/>
      <protection locked="0"/>
    </xf>
    <xf numFmtId="6" fontId="0" fillId="0" borderId="0" xfId="0" applyNumberFormat="1" applyAlignment="1" applyProtection="1">
      <protection locked="0"/>
    </xf>
    <xf numFmtId="168" fontId="8" fillId="0" borderId="0" xfId="0" applyNumberFormat="1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protection locked="0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quotePrefix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3" fillId="0" borderId="0" xfId="0" applyFont="1"/>
    <xf numFmtId="0" fontId="15" fillId="0" borderId="25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 wrapText="1"/>
    </xf>
    <xf numFmtId="0" fontId="0" fillId="2" borderId="2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69" fontId="0" fillId="2" borderId="6" xfId="0" applyNumberFormat="1" applyFill="1" applyBorder="1" applyAlignment="1">
      <alignment horizontal="center"/>
    </xf>
    <xf numFmtId="9" fontId="16" fillId="2" borderId="6" xfId="1" applyNumberFormat="1" applyFont="1" applyFill="1" applyBorder="1" applyAlignment="1">
      <alignment horizontal="center"/>
    </xf>
    <xf numFmtId="10" fontId="0" fillId="2" borderId="6" xfId="1" applyNumberFormat="1" applyFont="1" applyFill="1" applyBorder="1" applyAlignment="1">
      <alignment horizontal="center"/>
    </xf>
    <xf numFmtId="37" fontId="0" fillId="2" borderId="6" xfId="2" applyNumberFormat="1" applyFont="1" applyFill="1" applyBorder="1" applyAlignment="1">
      <alignment horizontal="center"/>
    </xf>
    <xf numFmtId="37" fontId="0" fillId="2" borderId="6" xfId="0" applyNumberForma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horizontal="right" vertical="center" wrapText="1"/>
    </xf>
    <xf numFmtId="7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8" fontId="0" fillId="0" borderId="3" xfId="0" applyNumberFormat="1" applyBorder="1"/>
    <xf numFmtId="8" fontId="0" fillId="0" borderId="5" xfId="0" applyNumberFormat="1" applyBorder="1"/>
    <xf numFmtId="0" fontId="12" fillId="0" borderId="0" xfId="0" applyFont="1"/>
    <xf numFmtId="0" fontId="18" fillId="0" borderId="0" xfId="0" applyFont="1"/>
    <xf numFmtId="0" fontId="18" fillId="3" borderId="0" xfId="0" applyFont="1" applyFill="1"/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0" fillId="0" borderId="0" xfId="0" applyNumberFormat="1"/>
    <xf numFmtId="40" fontId="20" fillId="0" borderId="0" xfId="2" applyNumberFormat="1" applyFont="1" applyFill="1" applyBorder="1" applyAlignment="1">
      <alignment horizontal="center"/>
    </xf>
    <xf numFmtId="6" fontId="8" fillId="0" borderId="0" xfId="0" applyNumberFormat="1" applyFont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6" fontId="0" fillId="0" borderId="6" xfId="0" applyNumberFormat="1" applyBorder="1" applyAlignment="1">
      <alignment horizontal="center"/>
    </xf>
    <xf numFmtId="6" fontId="0" fillId="0" borderId="0" xfId="0" applyNumberFormat="1"/>
    <xf numFmtId="0" fontId="0" fillId="0" borderId="0" xfId="0" applyFont="1" applyAlignment="1">
      <alignment vertical="top"/>
    </xf>
    <xf numFmtId="10" fontId="0" fillId="0" borderId="0" xfId="1" applyNumberFormat="1" applyFont="1" applyBorder="1"/>
    <xf numFmtId="0" fontId="0" fillId="4" borderId="0" xfId="0" applyFont="1" applyFill="1" applyAlignment="1">
      <alignment vertical="top"/>
    </xf>
    <xf numFmtId="10" fontId="0" fillId="4" borderId="0" xfId="1" applyNumberFormat="1" applyFont="1" applyFill="1" applyBorder="1"/>
    <xf numFmtId="10" fontId="0" fillId="4" borderId="0" xfId="1" applyNumberFormat="1" applyFont="1" applyFill="1"/>
    <xf numFmtId="0" fontId="0" fillId="4" borderId="0" xfId="0" applyFill="1"/>
    <xf numFmtId="0" fontId="0" fillId="0" borderId="0" xfId="0" applyFill="1" applyBorder="1"/>
    <xf numFmtId="10" fontId="0" fillId="0" borderId="0" xfId="1" applyNumberFormat="1" applyFont="1" applyFill="1" applyBorder="1"/>
    <xf numFmtId="164" fontId="0" fillId="0" borderId="3" xfId="0" applyNumberFormat="1" applyFill="1" applyBorder="1" applyAlignment="1">
      <alignment vertical="top"/>
    </xf>
    <xf numFmtId="164" fontId="0" fillId="0" borderId="5" xfId="0" applyNumberFormat="1" applyFill="1" applyBorder="1" applyAlignment="1">
      <alignment vertical="top"/>
    </xf>
    <xf numFmtId="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 applyAlignment="1">
      <alignment horizontal="center"/>
    </xf>
    <xf numFmtId="171" fontId="0" fillId="0" borderId="0" xfId="2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11" fontId="0" fillId="0" borderId="0" xfId="0" applyNumberFormat="1"/>
    <xf numFmtId="0" fontId="23" fillId="0" borderId="0" xfId="4" applyFont="1"/>
    <xf numFmtId="0" fontId="13" fillId="0" borderId="0" xfId="0" applyFont="1" applyFill="1"/>
    <xf numFmtId="168" fontId="0" fillId="0" borderId="0" xfId="0" applyNumberFormat="1"/>
    <xf numFmtId="172" fontId="11" fillId="0" borderId="0" xfId="0" applyNumberFormat="1" applyFont="1"/>
    <xf numFmtId="0" fontId="4" fillId="0" borderId="0" xfId="4"/>
    <xf numFmtId="0" fontId="3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0" fontId="17" fillId="0" borderId="30" xfId="4" applyFont="1" applyBorder="1"/>
    <xf numFmtId="170" fontId="25" fillId="0" borderId="30" xfId="3" applyNumberFormat="1" applyFont="1" applyBorder="1" applyAlignment="1">
      <alignment horizontal="right" indent="1"/>
    </xf>
    <xf numFmtId="170" fontId="16" fillId="0" borderId="3" xfId="3" applyNumberFormat="1" applyFont="1" applyBorder="1" applyAlignment="1">
      <alignment horizontal="right" indent="1"/>
    </xf>
    <xf numFmtId="170" fontId="16" fillId="0" borderId="31" xfId="3" applyNumberFormat="1" applyFont="1" applyBorder="1" applyAlignment="1">
      <alignment horizontal="right" indent="1"/>
    </xf>
    <xf numFmtId="170" fontId="0" fillId="0" borderId="0" xfId="0" applyNumberFormat="1"/>
    <xf numFmtId="0" fontId="17" fillId="0" borderId="32" xfId="4" applyFont="1" applyBorder="1"/>
    <xf numFmtId="170" fontId="25" fillId="0" borderId="32" xfId="3" applyNumberFormat="1" applyFont="1" applyBorder="1" applyAlignment="1">
      <alignment horizontal="right" indent="1"/>
    </xf>
    <xf numFmtId="170" fontId="16" fillId="0" borderId="0" xfId="3" applyNumberFormat="1" applyFont="1" applyBorder="1" applyAlignment="1">
      <alignment horizontal="right" indent="1"/>
    </xf>
    <xf numFmtId="170" fontId="16" fillId="0" borderId="33" xfId="3" applyNumberFormat="1" applyFont="1" applyBorder="1" applyAlignment="1">
      <alignment horizontal="right" indent="1"/>
    </xf>
    <xf numFmtId="0" fontId="17" fillId="0" borderId="34" xfId="4" applyFont="1" applyBorder="1"/>
    <xf numFmtId="170" fontId="25" fillId="0" borderId="34" xfId="3" applyNumberFormat="1" applyFont="1" applyBorder="1" applyAlignment="1">
      <alignment horizontal="right" indent="1"/>
    </xf>
    <xf numFmtId="170" fontId="16" fillId="0" borderId="4" xfId="3" applyNumberFormat="1" applyFont="1" applyBorder="1" applyAlignment="1">
      <alignment horizontal="right" indent="1"/>
    </xf>
    <xf numFmtId="170" fontId="16" fillId="0" borderId="35" xfId="3" applyNumberFormat="1" applyFont="1" applyBorder="1" applyAlignment="1">
      <alignment horizontal="right" indent="1"/>
    </xf>
    <xf numFmtId="173" fontId="16" fillId="0" borderId="3" xfId="3" applyNumberFormat="1" applyFont="1" applyBorder="1" applyAlignment="1">
      <alignment horizontal="right" indent="1"/>
    </xf>
    <xf numFmtId="173" fontId="26" fillId="0" borderId="3" xfId="3" applyNumberFormat="1" applyFont="1" applyBorder="1" applyAlignment="1">
      <alignment horizontal="right" indent="1"/>
    </xf>
    <xf numFmtId="173" fontId="16" fillId="0" borderId="31" xfId="3" applyNumberFormat="1" applyFont="1" applyBorder="1" applyAlignment="1">
      <alignment horizontal="right" indent="1"/>
    </xf>
    <xf numFmtId="173" fontId="16" fillId="0" borderId="0" xfId="3" applyNumberFormat="1" applyFont="1" applyBorder="1" applyAlignment="1">
      <alignment horizontal="right" indent="1"/>
    </xf>
    <xf numFmtId="173" fontId="16" fillId="0" borderId="33" xfId="3" applyNumberFormat="1" applyFont="1" applyBorder="1" applyAlignment="1">
      <alignment horizontal="right" indent="1"/>
    </xf>
    <xf numFmtId="173" fontId="16" fillId="0" borderId="4" xfId="3" applyNumberFormat="1" applyFont="1" applyBorder="1" applyAlignment="1">
      <alignment horizontal="right" indent="1"/>
    </xf>
    <xf numFmtId="173" fontId="16" fillId="0" borderId="35" xfId="3" applyNumberFormat="1" applyFont="1" applyBorder="1" applyAlignment="1">
      <alignment horizontal="right" indent="1"/>
    </xf>
    <xf numFmtId="170" fontId="27" fillId="0" borderId="32" xfId="3" applyNumberFormat="1" applyFont="1" applyBorder="1" applyAlignment="1">
      <alignment horizontal="right" indent="1"/>
    </xf>
    <xf numFmtId="173" fontId="26" fillId="0" borderId="0" xfId="3" applyNumberFormat="1" applyFont="1" applyBorder="1" applyAlignment="1">
      <alignment horizontal="right" indent="1"/>
    </xf>
    <xf numFmtId="173" fontId="16" fillId="0" borderId="0" xfId="3" applyNumberFormat="1" applyFont="1" applyBorder="1" applyAlignment="1">
      <alignment horizontal="left" indent="1"/>
    </xf>
    <xf numFmtId="170" fontId="27" fillId="0" borderId="34" xfId="3" applyNumberFormat="1" applyFont="1" applyBorder="1" applyAlignment="1">
      <alignment horizontal="right" indent="1"/>
    </xf>
    <xf numFmtId="170" fontId="26" fillId="0" borderId="4" xfId="3" applyNumberFormat="1" applyFont="1" applyBorder="1" applyAlignment="1">
      <alignment horizontal="right" indent="1"/>
    </xf>
    <xf numFmtId="173" fontId="16" fillId="0" borderId="4" xfId="3" applyNumberFormat="1" applyFont="1" applyBorder="1" applyAlignment="1">
      <alignment horizontal="left" indent="1"/>
    </xf>
    <xf numFmtId="170" fontId="25" fillId="0" borderId="0" xfId="3" applyNumberFormat="1" applyFont="1" applyBorder="1" applyAlignment="1">
      <alignment horizontal="right" indent="1"/>
    </xf>
    <xf numFmtId="0" fontId="29" fillId="0" borderId="0" xfId="4" applyFont="1"/>
    <xf numFmtId="168" fontId="11" fillId="0" borderId="0" xfId="0" applyNumberFormat="1" applyFont="1"/>
    <xf numFmtId="10" fontId="11" fillId="0" borderId="0" xfId="0" applyNumberFormat="1" applyFont="1"/>
    <xf numFmtId="0" fontId="1" fillId="0" borderId="0" xfId="0" applyFont="1" applyAlignment="1">
      <alignment horizontal="right"/>
    </xf>
    <xf numFmtId="0" fontId="30" fillId="0" borderId="0" xfId="4" applyFont="1" applyAlignment="1">
      <alignment horizontal="center"/>
    </xf>
    <xf numFmtId="0" fontId="31" fillId="0" borderId="0" xfId="0" applyFont="1" applyFill="1"/>
    <xf numFmtId="0" fontId="0" fillId="0" borderId="0" xfId="0" applyFill="1"/>
    <xf numFmtId="174" fontId="25" fillId="0" borderId="30" xfId="3" applyNumberFormat="1" applyFont="1" applyBorder="1" applyAlignment="1">
      <alignment horizontal="right" indent="1"/>
    </xf>
    <xf numFmtId="170" fontId="26" fillId="0" borderId="3" xfId="3" applyNumberFormat="1" applyFont="1" applyBorder="1" applyAlignment="1">
      <alignment horizontal="right" indent="1"/>
    </xf>
    <xf numFmtId="170" fontId="26" fillId="0" borderId="31" xfId="3" applyNumberFormat="1" applyFont="1" applyBorder="1" applyAlignment="1">
      <alignment horizontal="right" indent="1"/>
    </xf>
    <xf numFmtId="170" fontId="1" fillId="0" borderId="0" xfId="0" applyNumberFormat="1" applyFont="1"/>
    <xf numFmtId="174" fontId="25" fillId="0" borderId="32" xfId="3" applyNumberFormat="1" applyFont="1" applyBorder="1" applyAlignment="1">
      <alignment horizontal="right" indent="1"/>
    </xf>
    <xf numFmtId="175" fontId="16" fillId="0" borderId="3" xfId="3" applyNumberFormat="1" applyFont="1" applyBorder="1" applyAlignment="1">
      <alignment horizontal="right" indent="1"/>
    </xf>
    <xf numFmtId="175" fontId="16" fillId="0" borderId="0" xfId="3" applyNumberFormat="1" applyFont="1" applyBorder="1" applyAlignment="1">
      <alignment horizontal="right" indent="1"/>
    </xf>
    <xf numFmtId="175" fontId="16" fillId="0" borderId="4" xfId="3" applyNumberFormat="1" applyFont="1" applyBorder="1" applyAlignment="1">
      <alignment horizontal="right" indent="1"/>
    </xf>
    <xf numFmtId="174" fontId="25" fillId="0" borderId="32" xfId="3" applyNumberFormat="1" applyFont="1" applyFill="1" applyBorder="1" applyAlignment="1">
      <alignment horizontal="right" indent="1"/>
    </xf>
    <xf numFmtId="173" fontId="16" fillId="0" borderId="0" xfId="3" applyNumberFormat="1" applyFont="1" applyFill="1" applyBorder="1" applyAlignment="1">
      <alignment horizontal="right" indent="1"/>
    </xf>
    <xf numFmtId="175" fontId="16" fillId="0" borderId="0" xfId="3" applyNumberFormat="1" applyFont="1" applyFill="1" applyBorder="1" applyAlignment="1">
      <alignment horizontal="right" indent="1"/>
    </xf>
    <xf numFmtId="0" fontId="17" fillId="0" borderId="6" xfId="4" applyFont="1" applyBorder="1"/>
    <xf numFmtId="174" fontId="25" fillId="0" borderId="6" xfId="3" applyNumberFormat="1" applyFont="1" applyBorder="1" applyAlignment="1">
      <alignment horizontal="right" indent="1"/>
    </xf>
    <xf numFmtId="170" fontId="16" fillId="0" borderId="7" xfId="3" applyNumberFormat="1" applyFont="1" applyBorder="1" applyAlignment="1">
      <alignment horizontal="right" indent="1"/>
    </xf>
    <xf numFmtId="176" fontId="16" fillId="0" borderId="7" xfId="3" applyNumberFormat="1" applyFont="1" applyBorder="1" applyAlignment="1">
      <alignment horizontal="right" indent="1"/>
    </xf>
    <xf numFmtId="173" fontId="16" fillId="0" borderId="7" xfId="3" applyNumberFormat="1" applyFont="1" applyBorder="1" applyAlignment="1">
      <alignment horizontal="left" indent="1"/>
    </xf>
    <xf numFmtId="173" fontId="16" fillId="0" borderId="7" xfId="3" applyNumberFormat="1" applyFont="1" applyBorder="1" applyAlignment="1">
      <alignment horizontal="right" indent="1"/>
    </xf>
    <xf numFmtId="173" fontId="16" fillId="0" borderId="2" xfId="3" applyNumberFormat="1" applyFont="1" applyBorder="1" applyAlignment="1">
      <alignment horizontal="right" indent="1"/>
    </xf>
    <xf numFmtId="0" fontId="32" fillId="0" borderId="6" xfId="4" applyFont="1" applyFill="1" applyBorder="1"/>
    <xf numFmtId="174" fontId="25" fillId="0" borderId="6" xfId="3" applyNumberFormat="1" applyFont="1" applyFill="1" applyBorder="1" applyAlignment="1">
      <alignment horizontal="right" indent="1"/>
    </xf>
    <xf numFmtId="176" fontId="16" fillId="0" borderId="7" xfId="3" applyNumberFormat="1" applyFont="1" applyFill="1" applyBorder="1" applyAlignment="1">
      <alignment horizontal="right" indent="1"/>
    </xf>
    <xf numFmtId="0" fontId="3" fillId="0" borderId="0" xfId="0" applyFont="1" applyAlignment="1">
      <alignment horizontal="right"/>
    </xf>
    <xf numFmtId="172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164" fontId="33" fillId="0" borderId="0" xfId="0" applyNumberFormat="1" applyFont="1" applyFill="1" applyAlignment="1">
      <alignment vertical="top"/>
    </xf>
    <xf numFmtId="8" fontId="0" fillId="0" borderId="0" xfId="0" applyNumberFormat="1" applyBorder="1" applyAlignment="1">
      <alignment vertical="top"/>
    </xf>
    <xf numFmtId="6" fontId="0" fillId="0" borderId="0" xfId="0" applyNumberFormat="1" applyBorder="1" applyAlignment="1">
      <alignment vertical="top"/>
    </xf>
    <xf numFmtId="9" fontId="8" fillId="0" borderId="0" xfId="1" applyFont="1" applyAlignment="1" applyProtection="1">
      <protection locked="0"/>
    </xf>
    <xf numFmtId="9" fontId="7" fillId="0" borderId="0" xfId="1" applyFont="1" applyAlignment="1" applyProtection="1">
      <protection locked="0"/>
    </xf>
    <xf numFmtId="171" fontId="0" fillId="0" borderId="0" xfId="0" applyNumberFormat="1" applyFill="1" applyBorder="1"/>
    <xf numFmtId="177" fontId="0" fillId="0" borderId="0" xfId="0" applyNumberFormat="1" applyFill="1" applyBorder="1"/>
    <xf numFmtId="164" fontId="0" fillId="0" borderId="4" xfId="0" applyNumberFormat="1" applyBorder="1"/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right"/>
    </xf>
    <xf numFmtId="8" fontId="0" fillId="0" borderId="0" xfId="0" applyNumberFormat="1" applyFill="1"/>
    <xf numFmtId="6" fontId="0" fillId="0" borderId="6" xfId="0" applyNumberFormat="1" applyFill="1" applyBorder="1"/>
    <xf numFmtId="6" fontId="0" fillId="0" borderId="0" xfId="0" applyNumberFormat="1" applyFill="1"/>
    <xf numFmtId="6" fontId="17" fillId="0" borderId="12" xfId="0" applyNumberFormat="1" applyFont="1" applyFill="1" applyBorder="1"/>
    <xf numFmtId="0" fontId="24" fillId="0" borderId="0" xfId="0" applyFont="1" applyFill="1"/>
    <xf numFmtId="0" fontId="6" fillId="0" borderId="0" xfId="0" applyNumberFormat="1" applyFont="1" applyFill="1" applyBorder="1" applyAlignment="1" applyProtection="1">
      <protection locked="0"/>
    </xf>
    <xf numFmtId="0" fontId="6" fillId="0" borderId="13" xfId="0" applyNumberFormat="1" applyFont="1" applyFill="1" applyBorder="1" applyAlignment="1" applyProtection="1">
      <protection locked="0"/>
    </xf>
    <xf numFmtId="0" fontId="0" fillId="0" borderId="0" xfId="0" applyNumberFormat="1" applyFill="1" applyAlignment="1" applyProtection="1">
      <protection locked="0"/>
    </xf>
    <xf numFmtId="166" fontId="7" fillId="0" borderId="12" xfId="2" applyNumberFormat="1" applyFont="1" applyFill="1" applyBorder="1" applyAlignment="1" applyProtection="1">
      <alignment horizontal="center"/>
      <protection locked="0"/>
    </xf>
    <xf numFmtId="6" fontId="7" fillId="0" borderId="0" xfId="0" quotePrefix="1" applyNumberFormat="1" applyFont="1" applyFill="1" applyBorder="1" applyAlignment="1" applyProtection="1">
      <alignment horizontal="left"/>
      <protection locked="0"/>
    </xf>
    <xf numFmtId="10" fontId="7" fillId="0" borderId="15" xfId="1" applyNumberFormat="1" applyFont="1" applyFill="1" applyBorder="1" applyAlignment="1" applyProtection="1">
      <protection locked="0"/>
    </xf>
    <xf numFmtId="0" fontId="7" fillId="0" borderId="15" xfId="0" quotePrefix="1" applyNumberFormat="1" applyFont="1" applyFill="1" applyBorder="1" applyAlignment="1" applyProtection="1">
      <protection locked="0"/>
    </xf>
    <xf numFmtId="0" fontId="7" fillId="0" borderId="15" xfId="0" applyNumberFormat="1" applyFont="1" applyFill="1" applyBorder="1" applyAlignment="1" applyProtection="1">
      <protection locked="0"/>
    </xf>
    <xf numFmtId="0" fontId="7" fillId="0" borderId="16" xfId="0" applyNumberFormat="1" applyFont="1" applyFill="1" applyBorder="1" applyAlignment="1" applyProtection="1">
      <protection locked="0"/>
    </xf>
    <xf numFmtId="0" fontId="7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 applyProtection="1">
      <alignment horizontal="right"/>
      <protection locked="0"/>
    </xf>
    <xf numFmtId="6" fontId="7" fillId="0" borderId="0" xfId="0" applyNumberFormat="1" applyFont="1" applyFill="1" applyAlignment="1" applyProtection="1">
      <protection locked="0"/>
    </xf>
    <xf numFmtId="6" fontId="7" fillId="0" borderId="0" xfId="0" applyNumberFormat="1" applyFont="1" applyFill="1" applyBorder="1" applyAlignment="1" applyProtection="1">
      <protection locked="0"/>
    </xf>
    <xf numFmtId="0" fontId="13" fillId="0" borderId="0" xfId="0" applyFont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top" wrapText="1"/>
    </xf>
  </cellXfs>
  <cellStyles count="5">
    <cellStyle name="Comma" xfId="2" builtinId="3"/>
    <cellStyle name="Currency" xfId="3" builtinId="4"/>
    <cellStyle name="Normal" xfId="0" builtinId="0"/>
    <cellStyle name="Normal 21" xfId="4"/>
    <cellStyle name="Percent" xfId="1" builtinId="5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18</xdr:row>
      <xdr:rowOff>123825</xdr:rowOff>
    </xdr:from>
    <xdr:to>
      <xdr:col>3</xdr:col>
      <xdr:colOff>409575</xdr:colOff>
      <xdr:row>22</xdr:row>
      <xdr:rowOff>180975</xdr:rowOff>
    </xdr:to>
    <xdr:cxnSp macro="">
      <xdr:nvCxnSpPr>
        <xdr:cNvPr id="11" name="Straight Connector 10"/>
        <xdr:cNvCxnSpPr/>
      </xdr:nvCxnSpPr>
      <xdr:spPr>
        <a:xfrm>
          <a:off x="3695700" y="4962525"/>
          <a:ext cx="0" cy="1733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18</xdr:row>
      <xdr:rowOff>133350</xdr:rowOff>
    </xdr:from>
    <xdr:to>
      <xdr:col>4</xdr:col>
      <xdr:colOff>400050</xdr:colOff>
      <xdr:row>18</xdr:row>
      <xdr:rowOff>133350</xdr:rowOff>
    </xdr:to>
    <xdr:cxnSp macro="">
      <xdr:nvCxnSpPr>
        <xdr:cNvPr id="12" name="Straight Arrow Connector 11"/>
        <xdr:cNvCxnSpPr/>
      </xdr:nvCxnSpPr>
      <xdr:spPr>
        <a:xfrm>
          <a:off x="3705225" y="4972050"/>
          <a:ext cx="96202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20</xdr:row>
      <xdr:rowOff>200025</xdr:rowOff>
    </xdr:from>
    <xdr:to>
      <xdr:col>4</xdr:col>
      <xdr:colOff>114300</xdr:colOff>
      <xdr:row>20</xdr:row>
      <xdr:rowOff>200025</xdr:rowOff>
    </xdr:to>
    <xdr:cxnSp macro="">
      <xdr:nvCxnSpPr>
        <xdr:cNvPr id="13" name="Straight Arrow Connector 12"/>
        <xdr:cNvCxnSpPr/>
      </xdr:nvCxnSpPr>
      <xdr:spPr>
        <a:xfrm>
          <a:off x="3419475" y="5800725"/>
          <a:ext cx="96202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22</xdr:row>
      <xdr:rowOff>180975</xdr:rowOff>
    </xdr:from>
    <xdr:to>
      <xdr:col>4</xdr:col>
      <xdr:colOff>38100</xdr:colOff>
      <xdr:row>22</xdr:row>
      <xdr:rowOff>180975</xdr:rowOff>
    </xdr:to>
    <xdr:cxnSp macro="">
      <xdr:nvCxnSpPr>
        <xdr:cNvPr id="14" name="Straight Arrow Connector 13"/>
        <xdr:cNvCxnSpPr/>
      </xdr:nvCxnSpPr>
      <xdr:spPr>
        <a:xfrm>
          <a:off x="3705225" y="6696075"/>
          <a:ext cx="60007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200025</xdr:rowOff>
    </xdr:from>
    <xdr:to>
      <xdr:col>3</xdr:col>
      <xdr:colOff>409575</xdr:colOff>
      <xdr:row>20</xdr:row>
      <xdr:rowOff>200025</xdr:rowOff>
    </xdr:to>
    <xdr:cxnSp macro="">
      <xdr:nvCxnSpPr>
        <xdr:cNvPr id="15" name="Straight Connector 14"/>
        <xdr:cNvCxnSpPr/>
      </xdr:nvCxnSpPr>
      <xdr:spPr>
        <a:xfrm flipH="1">
          <a:off x="3286125" y="5800725"/>
          <a:ext cx="409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17</xdr:row>
      <xdr:rowOff>0</xdr:rowOff>
    </xdr:from>
    <xdr:to>
      <xdr:col>2</xdr:col>
      <xdr:colOff>552450</xdr:colOff>
      <xdr:row>18</xdr:row>
      <xdr:rowOff>9525</xdr:rowOff>
    </xdr:to>
    <xdr:cxnSp macro="">
      <xdr:nvCxnSpPr>
        <xdr:cNvPr id="16" name="Straight Arrow Connector 15"/>
        <xdr:cNvCxnSpPr/>
      </xdr:nvCxnSpPr>
      <xdr:spPr>
        <a:xfrm>
          <a:off x="2714625" y="4457700"/>
          <a:ext cx="0" cy="390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14</xdr:row>
      <xdr:rowOff>0</xdr:rowOff>
    </xdr:from>
    <xdr:to>
      <xdr:col>2</xdr:col>
      <xdr:colOff>523875</xdr:colOff>
      <xdr:row>15</xdr:row>
      <xdr:rowOff>9525</xdr:rowOff>
    </xdr:to>
    <xdr:cxnSp macro="">
      <xdr:nvCxnSpPr>
        <xdr:cNvPr id="17" name="Straight Arrow Connector 16"/>
        <xdr:cNvCxnSpPr/>
      </xdr:nvCxnSpPr>
      <xdr:spPr>
        <a:xfrm>
          <a:off x="2686050" y="3314700"/>
          <a:ext cx="0" cy="390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19</xdr:row>
      <xdr:rowOff>0</xdr:rowOff>
    </xdr:from>
    <xdr:to>
      <xdr:col>2</xdr:col>
      <xdr:colOff>552450</xdr:colOff>
      <xdr:row>20</xdr:row>
      <xdr:rowOff>9525</xdr:rowOff>
    </xdr:to>
    <xdr:cxnSp macro="">
      <xdr:nvCxnSpPr>
        <xdr:cNvPr id="18" name="Straight Arrow Connector 17"/>
        <xdr:cNvCxnSpPr/>
      </xdr:nvCxnSpPr>
      <xdr:spPr>
        <a:xfrm>
          <a:off x="2714625" y="5219700"/>
          <a:ext cx="0" cy="390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14</xdr:row>
      <xdr:rowOff>9525</xdr:rowOff>
    </xdr:from>
    <xdr:to>
      <xdr:col>9</xdr:col>
      <xdr:colOff>47625</xdr:colOff>
      <xdr:row>14</xdr:row>
      <xdr:rowOff>19050</xdr:rowOff>
    </xdr:to>
    <xdr:cxnSp macro="">
      <xdr:nvCxnSpPr>
        <xdr:cNvPr id="3" name="Straight Arrow Connector 2"/>
        <xdr:cNvCxnSpPr/>
      </xdr:nvCxnSpPr>
      <xdr:spPr>
        <a:xfrm flipV="1">
          <a:off x="5587365" y="3011805"/>
          <a:ext cx="17526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n0sgr/Documents/01%20Projects/Fla%20Solar/Distributed_%20Update%2007%2010%202015_Florida%20Projects_Support%20for%207-10-15%20CPVRR%20Wa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PVRR%20vs%20Capex%20Sensitivity%20Multiplier_Various%20Scenarios_3-9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Model"/>
      <sheetName val="Estimate Request Form "/>
      <sheetName val="Citris Takeoff"/>
      <sheetName val="Manatee Takeoff"/>
      <sheetName val="Babcock Ranch Takeoff"/>
      <sheetName val="Panel_Info1500"/>
      <sheetName val="Lookups"/>
      <sheetName val="Labor"/>
      <sheetName val="CA WageRates"/>
      <sheetName val="SW US WageRates"/>
      <sheetName val="Midwest WageRates"/>
      <sheetName val="Revisions"/>
    </sheetNames>
    <sheetDataSet>
      <sheetData sheetId="0" refreshError="1">
        <row r="136">
          <cell r="J136">
            <v>47702646</v>
          </cell>
          <cell r="K136">
            <v>49940646</v>
          </cell>
          <cell r="L136">
            <v>47908646</v>
          </cell>
        </row>
        <row r="137">
          <cell r="J137">
            <v>-2832646</v>
          </cell>
          <cell r="K137">
            <v>-5033646</v>
          </cell>
          <cell r="L137">
            <v>-4988611</v>
          </cell>
        </row>
        <row r="138">
          <cell r="J138">
            <v>11429528</v>
          </cell>
          <cell r="K138">
            <v>11423152</v>
          </cell>
          <cell r="L138">
            <v>11422005.5</v>
          </cell>
        </row>
        <row r="139">
          <cell r="J139">
            <v>65486000</v>
          </cell>
          <cell r="K139">
            <v>65486000</v>
          </cell>
          <cell r="L139">
            <v>65486000</v>
          </cell>
        </row>
        <row r="140">
          <cell r="J140">
            <v>4093000</v>
          </cell>
          <cell r="K140">
            <v>1269000</v>
          </cell>
          <cell r="L140">
            <v>1506000</v>
          </cell>
        </row>
        <row r="141">
          <cell r="J141">
            <v>3191000</v>
          </cell>
          <cell r="K141">
            <v>942000</v>
          </cell>
          <cell r="L141">
            <v>2405000</v>
          </cell>
        </row>
        <row r="142">
          <cell r="J142">
            <v>251000</v>
          </cell>
          <cell r="K142">
            <v>251000</v>
          </cell>
          <cell r="L142">
            <v>251000</v>
          </cell>
        </row>
        <row r="143">
          <cell r="J143">
            <v>2262000</v>
          </cell>
          <cell r="K143">
            <v>2350000</v>
          </cell>
          <cell r="L143">
            <v>2390000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VRR Drivers"/>
      <sheetName val="CPVRR Detail Calcs"/>
      <sheetName val="July 9"/>
      <sheetName val="June 4 (v2)"/>
      <sheetName val="June 4"/>
    </sheetNames>
    <sheetDataSet>
      <sheetData sheetId="0">
        <row r="6">
          <cell r="F6">
            <v>1.0818184308719427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2" workbookViewId="0">
      <selection activeCell="A2" sqref="A2"/>
    </sheetView>
  </sheetViews>
  <sheetFormatPr defaultRowHeight="14.4" outlineLevelRow="1" x14ac:dyDescent="0.3"/>
  <cols>
    <col min="1" max="1" width="29.33203125" bestFit="1" customWidth="1"/>
    <col min="2" max="2" width="7.6640625" customWidth="1"/>
    <col min="3" max="3" width="8.6640625" customWidth="1"/>
    <col min="4" max="4" width="7.6640625" customWidth="1"/>
    <col min="5" max="5" width="9.6640625" customWidth="1"/>
    <col min="6" max="6" width="48.6640625" customWidth="1"/>
    <col min="7" max="7" width="3" customWidth="1"/>
    <col min="8" max="8" width="20" customWidth="1"/>
    <col min="9" max="9" width="40.44140625" customWidth="1"/>
  </cols>
  <sheetData>
    <row r="1" spans="1:10" x14ac:dyDescent="0.3">
      <c r="A1" s="9" t="s">
        <v>50</v>
      </c>
    </row>
    <row r="2" spans="1:10" ht="57.6" x14ac:dyDescent="0.3">
      <c r="A2" s="233" t="s">
        <v>251</v>
      </c>
      <c r="B2" s="11" t="s">
        <v>11</v>
      </c>
      <c r="C2" s="16" t="s">
        <v>49</v>
      </c>
      <c r="D2" s="201" t="s">
        <v>101</v>
      </c>
      <c r="E2" s="16" t="s">
        <v>47</v>
      </c>
      <c r="F2" s="17" t="s">
        <v>48</v>
      </c>
    </row>
    <row r="3" spans="1:10" x14ac:dyDescent="0.3">
      <c r="A3" s="57" t="s">
        <v>107</v>
      </c>
      <c r="B3" s="10"/>
      <c r="C3" s="10"/>
      <c r="D3" s="118"/>
    </row>
    <row r="4" spans="1:10" x14ac:dyDescent="0.3">
      <c r="A4" s="112" t="s">
        <v>243</v>
      </c>
      <c r="B4" s="10"/>
      <c r="C4" s="10"/>
      <c r="D4" s="198">
        <v>1.5</v>
      </c>
    </row>
    <row r="5" spans="1:10" x14ac:dyDescent="0.3">
      <c r="A5" s="112" t="s">
        <v>244</v>
      </c>
      <c r="B5" s="10"/>
      <c r="C5" s="10"/>
      <c r="D5" s="199">
        <v>41</v>
      </c>
    </row>
    <row r="6" spans="1:10" x14ac:dyDescent="0.3">
      <c r="A6" s="112" t="s">
        <v>245</v>
      </c>
      <c r="B6" s="10"/>
      <c r="C6" s="10"/>
      <c r="D6" s="199">
        <v>195</v>
      </c>
    </row>
    <row r="7" spans="1:10" x14ac:dyDescent="0.3">
      <c r="A7" s="112" t="s">
        <v>153</v>
      </c>
      <c r="B7" s="113">
        <f>'MAP NCF &amp; FCV Detail'!N35</f>
        <v>0.26064748500000001</v>
      </c>
      <c r="C7" s="113">
        <f>B7</f>
        <v>0.26064748500000001</v>
      </c>
      <c r="D7" s="119">
        <f>'7-10-15 NCF &amp; FCV'!N36</f>
        <v>0.26331500000000002</v>
      </c>
      <c r="E7" s="90">
        <f t="shared" ref="E7:E8" si="0">D7-B7</f>
        <v>2.6675150000000092E-3</v>
      </c>
      <c r="F7" t="s">
        <v>155</v>
      </c>
    </row>
    <row r="8" spans="1:10" x14ac:dyDescent="0.3">
      <c r="A8" s="112" t="s">
        <v>154</v>
      </c>
      <c r="B8" s="113">
        <f>'MAP NCF &amp; FCV Detail'!P27</f>
        <v>0.52403171381152136</v>
      </c>
      <c r="C8" s="113">
        <f>B8</f>
        <v>0.52403171381152136</v>
      </c>
      <c r="D8" s="119">
        <f>'7-10-15 NCF &amp; FCV'!P28</f>
        <v>0.53499833374414218</v>
      </c>
      <c r="E8" s="90">
        <f t="shared" si="0"/>
        <v>1.0966619932620825E-2</v>
      </c>
      <c r="F8" t="s">
        <v>156</v>
      </c>
      <c r="I8" s="9" t="s">
        <v>249</v>
      </c>
    </row>
    <row r="9" spans="1:10" ht="7.2" customHeight="1" x14ac:dyDescent="0.3">
      <c r="A9" s="114"/>
      <c r="B9" s="115"/>
      <c r="C9" s="115"/>
      <c r="D9" s="115"/>
      <c r="E9" s="116"/>
      <c r="F9" s="117"/>
    </row>
    <row r="10" spans="1:10" ht="16.2" x14ac:dyDescent="0.3">
      <c r="A10" s="5" t="s">
        <v>2</v>
      </c>
      <c r="B10" s="6">
        <f>58600148*3/1000000</f>
        <v>175.800444</v>
      </c>
      <c r="C10" s="6">
        <f>B10+(0.124-0.155)*74.5*3</f>
        <v>168.87194399999998</v>
      </c>
      <c r="D10" s="7">
        <f>SUM([1]Assump!$J$136:$L$138)/1000000</f>
        <v>166.9717205</v>
      </c>
      <c r="E10" s="6">
        <f>D10-B10</f>
        <v>-8.8287234999999953</v>
      </c>
      <c r="F10" s="12" t="s">
        <v>104</v>
      </c>
      <c r="G10" s="1"/>
      <c r="H10" s="1"/>
    </row>
    <row r="11" spans="1:10" x14ac:dyDescent="0.3">
      <c r="A11" s="5" t="s">
        <v>3</v>
      </c>
      <c r="B11" s="6">
        <f>63698000*3/1000000</f>
        <v>191.09399999999999</v>
      </c>
      <c r="C11" s="6">
        <v>196.458</v>
      </c>
      <c r="D11" s="7">
        <f>SUM([1]Assump!$J$139:$L$139)/1000000</f>
        <v>196.458</v>
      </c>
      <c r="E11" s="6">
        <f>D11-B11</f>
        <v>5.3640000000000043</v>
      </c>
      <c r="F11" s="6" t="s">
        <v>12</v>
      </c>
      <c r="G11" s="1"/>
      <c r="H11" s="1"/>
      <c r="I11" s="5" t="s">
        <v>3</v>
      </c>
      <c r="J11" s="7">
        <v>196.458</v>
      </c>
    </row>
    <row r="12" spans="1:10" x14ac:dyDescent="0.3">
      <c r="A12" s="5" t="s">
        <v>4</v>
      </c>
      <c r="B12" s="13">
        <f>SUM(B10:B11)</f>
        <v>366.89444400000002</v>
      </c>
      <c r="C12" s="13">
        <f>SUM(C10:C11)</f>
        <v>365.32994399999995</v>
      </c>
      <c r="D12" s="120">
        <f>SUM(D10:D11)</f>
        <v>363.42972050000003</v>
      </c>
      <c r="E12" s="13">
        <f>SUM(E10:E11)</f>
        <v>-3.464723499999991</v>
      </c>
      <c r="F12" s="6"/>
      <c r="G12" s="1"/>
      <c r="H12" s="1"/>
      <c r="I12" s="5" t="s">
        <v>4</v>
      </c>
      <c r="J12" s="120">
        <v>363.42972050000003</v>
      </c>
    </row>
    <row r="13" spans="1:10" x14ac:dyDescent="0.3">
      <c r="A13" s="5" t="s">
        <v>5</v>
      </c>
      <c r="B13" s="6">
        <f>8500000*3/1000000</f>
        <v>25.5</v>
      </c>
      <c r="C13" s="6">
        <f>B13</f>
        <v>25.5</v>
      </c>
      <c r="D13" s="7">
        <f>SUM([1]Assump!$J$140:$L$140)/1000000</f>
        <v>6.8680000000000003</v>
      </c>
      <c r="E13" s="6">
        <f t="shared" ref="E13:E17" si="1">D13-B13</f>
        <v>-18.631999999999998</v>
      </c>
      <c r="F13" s="6" t="s">
        <v>102</v>
      </c>
      <c r="G13" s="1"/>
      <c r="H13" s="1"/>
      <c r="I13" s="5" t="s">
        <v>5</v>
      </c>
      <c r="J13" s="7">
        <v>6.8680000000000003</v>
      </c>
    </row>
    <row r="14" spans="1:10" x14ac:dyDescent="0.3">
      <c r="A14" s="5" t="s">
        <v>9</v>
      </c>
      <c r="B14" s="6">
        <f>(2740000+256353)*3/1000000</f>
        <v>8.9890589999999992</v>
      </c>
      <c r="C14" s="6">
        <f>B14</f>
        <v>8.9890589999999992</v>
      </c>
      <c r="D14" s="7">
        <f>SUM([1]Assump!$J$141:$L$142)/1000000</f>
        <v>7.2910000000000004</v>
      </c>
      <c r="E14" s="6">
        <f t="shared" si="1"/>
        <v>-1.6980589999999989</v>
      </c>
      <c r="F14" s="6" t="s">
        <v>103</v>
      </c>
      <c r="G14" s="1"/>
      <c r="H14" s="1"/>
      <c r="I14" s="5" t="s">
        <v>9</v>
      </c>
      <c r="J14" s="7">
        <v>7.2910000000000004</v>
      </c>
    </row>
    <row r="15" spans="1:10" x14ac:dyDescent="0.3">
      <c r="A15" s="5" t="s">
        <v>8</v>
      </c>
      <c r="B15" s="6">
        <f>2913000*3/1000000</f>
        <v>8.7390000000000008</v>
      </c>
      <c r="C15" s="6">
        <f>B15</f>
        <v>8.7390000000000008</v>
      </c>
      <c r="D15" s="7">
        <f>SUM([1]Assump!$J$143:$L$143)/1000000</f>
        <v>7.0019999999999998</v>
      </c>
      <c r="E15" s="6">
        <f t="shared" si="1"/>
        <v>-1.737000000000001</v>
      </c>
      <c r="F15" s="6" t="s">
        <v>46</v>
      </c>
      <c r="G15" s="1"/>
      <c r="H15" s="1"/>
      <c r="I15" s="5" t="s">
        <v>8</v>
      </c>
      <c r="J15" s="7">
        <v>9.3000000000000007</v>
      </c>
    </row>
    <row r="16" spans="1:10" x14ac:dyDescent="0.3">
      <c r="A16" s="5" t="s">
        <v>6</v>
      </c>
      <c r="B16" s="13">
        <f>SUM(B12:B15)</f>
        <v>410.12250299999999</v>
      </c>
      <c r="C16" s="13">
        <f>SUM(C12:C15)</f>
        <v>408.55800299999993</v>
      </c>
      <c r="D16" s="120">
        <f>SUM(D12:D15)</f>
        <v>384.59072050000003</v>
      </c>
      <c r="E16" s="13">
        <f>SUM(E12:E15)</f>
        <v>-25.531782499999991</v>
      </c>
      <c r="F16" s="6"/>
      <c r="G16" s="1"/>
      <c r="H16" s="1"/>
      <c r="I16" s="5" t="s">
        <v>6</v>
      </c>
      <c r="J16" s="120">
        <v>386.9</v>
      </c>
    </row>
    <row r="17" spans="1:10" ht="16.2" x14ac:dyDescent="0.3">
      <c r="A17" s="5" t="s">
        <v>0</v>
      </c>
      <c r="B17" s="6">
        <v>0</v>
      </c>
      <c r="C17" s="6">
        <f>'AFUDC SWAG Calcs'!$D26/('AFUDC SWAG Calcs'!$D14/1000000)*C16</f>
        <v>9.7149546757457834</v>
      </c>
      <c r="D17" s="7">
        <f>'AFUDC SWAG Calcs'!$D26/('AFUDC SWAG Calcs'!$D14/1000000)*D16</f>
        <v>9.1450452345438844</v>
      </c>
      <c r="E17" s="6">
        <f t="shared" si="1"/>
        <v>9.1450452345438844</v>
      </c>
      <c r="F17" s="6" t="s">
        <v>250</v>
      </c>
      <c r="G17" s="1"/>
      <c r="H17" s="1"/>
      <c r="I17" s="5" t="s">
        <v>0</v>
      </c>
      <c r="J17" s="7">
        <v>11.5</v>
      </c>
    </row>
    <row r="18" spans="1:10" ht="15" thickBot="1" x14ac:dyDescent="0.35">
      <c r="A18" s="5" t="s">
        <v>135</v>
      </c>
      <c r="B18" s="14">
        <f>SUM(B16:B17)</f>
        <v>410.12250299999999</v>
      </c>
      <c r="C18" s="14">
        <f>SUM(C16:C17)</f>
        <v>418.27295767574572</v>
      </c>
      <c r="D18" s="121">
        <f>SUM(D16:D17)</f>
        <v>393.73576573454392</v>
      </c>
      <c r="E18" s="14">
        <f>SUM(E16:E17)</f>
        <v>-16.386737265456105</v>
      </c>
      <c r="F18" s="6"/>
      <c r="G18" s="1"/>
      <c r="H18" s="1"/>
      <c r="I18" s="5" t="s">
        <v>135</v>
      </c>
      <c r="J18" s="121">
        <f>SUM(J16:J17)</f>
        <v>398.4</v>
      </c>
    </row>
    <row r="19" spans="1:10" ht="15" thickTop="1" x14ac:dyDescent="0.3">
      <c r="A19" s="5" t="s">
        <v>236</v>
      </c>
      <c r="B19" s="195">
        <f>B18*1000/(74.5*3)</f>
        <v>1835.0000134228187</v>
      </c>
      <c r="C19" s="195">
        <f t="shared" ref="C19:D19" si="2">C18*1000/(74.5*3)</f>
        <v>1871.4673721509876</v>
      </c>
      <c r="D19" s="195">
        <f t="shared" si="2"/>
        <v>1761.6812784543351</v>
      </c>
      <c r="E19" s="102"/>
      <c r="F19" s="6"/>
      <c r="G19" s="1"/>
      <c r="H19" s="1"/>
      <c r="I19" s="5" t="s">
        <v>236</v>
      </c>
      <c r="J19" s="195">
        <f t="shared" ref="J19" si="3">J18*1000/(74.5*3)</f>
        <v>1782.5503355704698</v>
      </c>
    </row>
    <row r="20" spans="1:10" x14ac:dyDescent="0.3">
      <c r="A20" s="5" t="s">
        <v>235</v>
      </c>
      <c r="B20" s="194">
        <f>B18/(74.5*3*1.5)</f>
        <v>1.2233333422818793</v>
      </c>
      <c r="C20" s="194">
        <f t="shared" ref="C20:D20" si="4">C18/(74.5*3*1.5)</f>
        <v>1.247644914767325</v>
      </c>
      <c r="D20" s="194">
        <f t="shared" si="4"/>
        <v>1.1744541856362234</v>
      </c>
      <c r="E20" s="102"/>
      <c r="F20" s="6"/>
      <c r="G20" s="1"/>
      <c r="H20" s="1"/>
      <c r="I20" s="5" t="s">
        <v>235</v>
      </c>
      <c r="J20" s="194">
        <f t="shared" ref="J20" si="5">J18/(74.5*3*1.5)</f>
        <v>1.1883668903803131</v>
      </c>
    </row>
    <row r="21" spans="1:10" x14ac:dyDescent="0.3">
      <c r="A21" s="5"/>
      <c r="B21" s="102"/>
      <c r="C21" s="102"/>
      <c r="D21" s="103"/>
      <c r="E21" s="102"/>
      <c r="F21" s="6"/>
      <c r="G21" s="1"/>
      <c r="H21" s="1"/>
    </row>
    <row r="22" spans="1:10" x14ac:dyDescent="0.3">
      <c r="A22" s="57" t="s">
        <v>134</v>
      </c>
      <c r="B22" s="6"/>
      <c r="C22" s="6"/>
      <c r="D22" s="7"/>
      <c r="F22" s="6"/>
      <c r="G22" s="1"/>
      <c r="H22" s="1"/>
      <c r="I22" s="57" t="s">
        <v>134</v>
      </c>
    </row>
    <row r="23" spans="1:10" x14ac:dyDescent="0.3">
      <c r="A23" s="112" t="s">
        <v>149</v>
      </c>
      <c r="B23" s="6">
        <v>0</v>
      </c>
      <c r="C23" s="6">
        <f>B30</f>
        <v>0</v>
      </c>
      <c r="D23" s="7">
        <f>B30</f>
        <v>0</v>
      </c>
      <c r="F23" s="6"/>
      <c r="G23" s="1"/>
      <c r="H23" s="1"/>
      <c r="I23" s="112" t="s">
        <v>149</v>
      </c>
      <c r="J23">
        <v>0</v>
      </c>
    </row>
    <row r="24" spans="1:10" x14ac:dyDescent="0.3">
      <c r="A24" s="112" t="s">
        <v>157</v>
      </c>
      <c r="B24" s="6"/>
      <c r="C24" s="6">
        <f>(C16-B16)*B49</f>
        <v>-1.6925049350992263</v>
      </c>
      <c r="D24" s="7">
        <f>(D16-B16)*B49</f>
        <v>-27.620752881513688</v>
      </c>
      <c r="F24" s="6"/>
      <c r="G24" s="1"/>
      <c r="H24" s="1"/>
      <c r="I24" s="112" t="s">
        <v>157</v>
      </c>
      <c r="J24" s="1">
        <f>(+J16-B16)*B49</f>
        <v>-25.122531756379001</v>
      </c>
    </row>
    <row r="25" spans="1:10" x14ac:dyDescent="0.3">
      <c r="A25" s="5" t="s">
        <v>150</v>
      </c>
      <c r="B25" s="6"/>
      <c r="C25" s="6">
        <f>(C17-B17)*B49</f>
        <v>10.509817023307347</v>
      </c>
      <c r="D25" s="7">
        <f>(D17-B17)*B49</f>
        <v>9.8932784858872029</v>
      </c>
      <c r="F25" s="6" t="s">
        <v>100</v>
      </c>
      <c r="G25" s="1"/>
      <c r="H25" s="1"/>
      <c r="I25" s="5" t="s">
        <v>150</v>
      </c>
      <c r="J25" s="3">
        <f>+J17*B49</f>
        <v>12.440911955027342</v>
      </c>
    </row>
    <row r="26" spans="1:10" x14ac:dyDescent="0.3">
      <c r="A26" s="5" t="s">
        <v>151</v>
      </c>
      <c r="B26" s="6"/>
      <c r="C26" s="6">
        <f>'O&amp;M Reduction Detail'!C49/1000000</f>
        <v>-3.4804203877700703</v>
      </c>
      <c r="D26" s="7">
        <f>'O&amp;M Reduction Detail'!E49/1000000</f>
        <v>-6.7042452068200609</v>
      </c>
      <c r="G26" s="1"/>
      <c r="H26" s="1"/>
      <c r="I26" s="5" t="s">
        <v>151</v>
      </c>
      <c r="J26" s="1">
        <f>+D26</f>
        <v>-6.7042452068200609</v>
      </c>
    </row>
    <row r="27" spans="1:10" x14ac:dyDescent="0.3">
      <c r="A27" s="5" t="s">
        <v>152</v>
      </c>
      <c r="B27" s="6"/>
      <c r="C27" s="6"/>
      <c r="D27" s="7">
        <v>-2.1</v>
      </c>
      <c r="F27" s="193" t="s">
        <v>233</v>
      </c>
      <c r="G27" s="1"/>
      <c r="H27" s="1"/>
      <c r="I27" s="5" t="s">
        <v>152</v>
      </c>
      <c r="J27" s="1">
        <f>+D27</f>
        <v>-2.1</v>
      </c>
    </row>
    <row r="28" spans="1:10" x14ac:dyDescent="0.3">
      <c r="A28" s="5" t="s">
        <v>158</v>
      </c>
      <c r="B28" s="6"/>
      <c r="C28" s="6"/>
      <c r="D28" s="7">
        <f>(((D7-B7)*100)*-B47)*3</f>
        <v>-3.1209925500000111</v>
      </c>
      <c r="F28" s="6" t="s">
        <v>100</v>
      </c>
      <c r="G28" s="1"/>
      <c r="H28" s="1"/>
      <c r="I28" s="5" t="s">
        <v>158</v>
      </c>
      <c r="J28" s="1">
        <f>+D28</f>
        <v>-3.1209925500000111</v>
      </c>
    </row>
    <row r="29" spans="1:10" x14ac:dyDescent="0.3">
      <c r="A29" s="5" t="s">
        <v>159</v>
      </c>
      <c r="B29" s="6"/>
      <c r="C29" s="6"/>
      <c r="D29" s="7">
        <f>(((D8-B8)*100)*-B48)*3</f>
        <v>-1.3571192166618264</v>
      </c>
      <c r="F29" s="6" t="s">
        <v>100</v>
      </c>
      <c r="G29" s="1"/>
      <c r="H29" s="1"/>
      <c r="I29" s="5" t="s">
        <v>159</v>
      </c>
      <c r="J29" s="200">
        <f>+D29</f>
        <v>-1.3571192166618264</v>
      </c>
    </row>
    <row r="30" spans="1:10" ht="15" thickBot="1" x14ac:dyDescent="0.35">
      <c r="A30" s="5" t="s">
        <v>10</v>
      </c>
      <c r="B30" s="14">
        <f>SUM(B23:B29)</f>
        <v>0</v>
      </c>
      <c r="C30" s="14">
        <f>SUM(C23:C29)</f>
        <v>5.3368917004380503</v>
      </c>
      <c r="D30" s="121">
        <f>SUM(D23:D29)</f>
        <v>-31.009831369108387</v>
      </c>
      <c r="F30" s="6" t="s">
        <v>13</v>
      </c>
      <c r="G30" s="1"/>
      <c r="H30" s="1"/>
      <c r="I30" s="5" t="s">
        <v>10</v>
      </c>
      <c r="J30" s="1">
        <f>SUM(J23:J29)</f>
        <v>-25.963976774833558</v>
      </c>
    </row>
    <row r="31" spans="1:10" ht="15" thickTop="1" x14ac:dyDescent="0.3">
      <c r="B31" s="1"/>
      <c r="C31" s="1"/>
      <c r="D31" s="1"/>
      <c r="E31" s="1"/>
      <c r="F31" s="1"/>
      <c r="G31" s="1"/>
      <c r="H31" s="1"/>
    </row>
    <row r="32" spans="1:10" x14ac:dyDescent="0.3">
      <c r="A32" s="57" t="s">
        <v>106</v>
      </c>
      <c r="B32" s="1"/>
      <c r="C32" s="1"/>
      <c r="D32" s="1"/>
      <c r="E32" s="1"/>
      <c r="F32" s="1"/>
      <c r="G32" s="1"/>
      <c r="H32" s="1"/>
    </row>
    <row r="33" spans="1:8" x14ac:dyDescent="0.3">
      <c r="A33" s="5" t="s">
        <v>95</v>
      </c>
      <c r="B33" s="3">
        <f>(B10+B15)/(74.5*3*1.5)</f>
        <v>0.55045322595078305</v>
      </c>
      <c r="C33" s="3">
        <f>(C10+C15)/(74.5*3*1.5)</f>
        <v>0.52978655928411633</v>
      </c>
      <c r="D33" s="3">
        <f>(D10+D15)/(74.5*3*1.5)</f>
        <v>0.51893727218493668</v>
      </c>
      <c r="E33" s="1"/>
      <c r="F33" s="1"/>
      <c r="G33" s="1"/>
      <c r="H33" s="1"/>
    </row>
    <row r="34" spans="1:8" x14ac:dyDescent="0.3">
      <c r="A34" s="5" t="s">
        <v>3</v>
      </c>
      <c r="B34" s="3">
        <f>B11/(74.5*3*1.5)</f>
        <v>0.57000447427293066</v>
      </c>
      <c r="C34" s="3">
        <f>C11/(74.5*3*1.5)</f>
        <v>0.58600447427293068</v>
      </c>
      <c r="D34" s="3">
        <f>D11/(74.5*3*1.5)</f>
        <v>0.58600447427293068</v>
      </c>
      <c r="E34" s="1"/>
      <c r="F34" s="1"/>
      <c r="G34" s="1"/>
      <c r="H34" s="1"/>
    </row>
    <row r="35" spans="1:8" x14ac:dyDescent="0.3">
      <c r="A35" s="5" t="s">
        <v>96</v>
      </c>
      <c r="B35" s="92">
        <f>SUM(B33:B34)</f>
        <v>1.1204577002237137</v>
      </c>
      <c r="C35" s="92">
        <f t="shared" ref="C35:D35" si="6">SUM(C33:C34)</f>
        <v>1.1157910335570471</v>
      </c>
      <c r="D35" s="92">
        <f t="shared" si="6"/>
        <v>1.1049417464578672</v>
      </c>
      <c r="E35" s="1"/>
      <c r="F35" s="1"/>
      <c r="G35" s="1"/>
      <c r="H35" s="1"/>
    </row>
    <row r="36" spans="1:8" x14ac:dyDescent="0.3">
      <c r="A36" s="5" t="s">
        <v>5</v>
      </c>
      <c r="B36" s="3">
        <f t="shared" ref="B36:D37" si="7">B13/(74.5*3*1.5)</f>
        <v>7.6062639821029079E-2</v>
      </c>
      <c r="C36" s="3">
        <f t="shared" si="7"/>
        <v>7.6062639821029079E-2</v>
      </c>
      <c r="D36" s="3">
        <f t="shared" si="7"/>
        <v>2.04862043251305E-2</v>
      </c>
      <c r="E36" s="1"/>
      <c r="F36" s="1"/>
      <c r="G36" s="1"/>
      <c r="H36" s="1"/>
    </row>
    <row r="37" spans="1:8" x14ac:dyDescent="0.3">
      <c r="A37" s="5" t="s">
        <v>9</v>
      </c>
      <c r="B37" s="3">
        <f t="shared" si="7"/>
        <v>2.6813002237136462E-2</v>
      </c>
      <c r="C37" s="3">
        <f t="shared" si="7"/>
        <v>2.6813002237136462E-2</v>
      </c>
      <c r="D37" s="3">
        <f t="shared" si="7"/>
        <v>2.1747949291573455E-2</v>
      </c>
      <c r="E37" s="1"/>
      <c r="F37" s="1"/>
      <c r="G37" s="1"/>
      <c r="H37" s="1"/>
    </row>
    <row r="38" spans="1:8" x14ac:dyDescent="0.3">
      <c r="A38" s="5" t="s">
        <v>97</v>
      </c>
      <c r="B38" s="92">
        <f>SUM(B35:B37)</f>
        <v>1.2233333422818793</v>
      </c>
      <c r="C38" s="92">
        <f t="shared" ref="C38:D38" si="8">SUM(C35:C37)</f>
        <v>1.2186666756152127</v>
      </c>
      <c r="D38" s="92">
        <f t="shared" si="8"/>
        <v>1.1471759000745714</v>
      </c>
      <c r="E38" s="1"/>
      <c r="F38" s="1"/>
      <c r="G38" s="1"/>
      <c r="H38" s="1"/>
    </row>
    <row r="39" spans="1:8" x14ac:dyDescent="0.3">
      <c r="A39" s="5" t="s">
        <v>0</v>
      </c>
      <c r="B39" s="3">
        <f>B17/(74.5*3*1.5)</f>
        <v>0</v>
      </c>
      <c r="C39" s="3">
        <f>C17/(74.5*3*1.5)</f>
        <v>2.8978239152112704E-2</v>
      </c>
      <c r="D39" s="3">
        <f>D17/(74.5*3*1.5)</f>
        <v>2.7278285561652155E-2</v>
      </c>
      <c r="E39" s="1"/>
      <c r="F39" s="1"/>
      <c r="G39" s="1"/>
      <c r="H39" s="1"/>
    </row>
    <row r="40" spans="1:8" ht="15" thickBot="1" x14ac:dyDescent="0.35">
      <c r="A40" s="5" t="s">
        <v>7</v>
      </c>
      <c r="B40" s="93">
        <f>SUM(B38:B39)</f>
        <v>1.2233333422818793</v>
      </c>
      <c r="C40" s="93">
        <f t="shared" ref="C40:D40" si="9">SUM(C38:C39)</f>
        <v>1.2476449147673254</v>
      </c>
      <c r="D40" s="93">
        <f t="shared" si="9"/>
        <v>1.1744541856362236</v>
      </c>
      <c r="E40" s="1"/>
      <c r="F40" s="1"/>
      <c r="G40" s="1"/>
      <c r="H40" s="1"/>
    </row>
    <row r="41" spans="1:8" ht="15" thickTop="1" x14ac:dyDescent="0.3">
      <c r="B41" s="1"/>
      <c r="C41" s="1"/>
      <c r="D41" s="1"/>
      <c r="E41" s="1"/>
      <c r="F41" s="1"/>
      <c r="G41" s="1"/>
      <c r="H41" s="1"/>
    </row>
    <row r="42" spans="1:8" x14ac:dyDescent="0.3">
      <c r="A42" s="15" t="s">
        <v>51</v>
      </c>
      <c r="B42" s="1"/>
      <c r="C42" s="1"/>
      <c r="D42" s="1"/>
      <c r="E42" s="1"/>
      <c r="F42" s="1"/>
      <c r="G42" s="1"/>
      <c r="H42" s="1"/>
    </row>
    <row r="43" spans="1:8" x14ac:dyDescent="0.3">
      <c r="A43" s="15" t="s">
        <v>52</v>
      </c>
      <c r="B43" s="1"/>
      <c r="C43" s="1"/>
      <c r="D43" s="1"/>
      <c r="E43" s="1"/>
      <c r="F43" s="1"/>
      <c r="G43" s="1"/>
      <c r="H43" s="1"/>
    </row>
    <row r="44" spans="1:8" x14ac:dyDescent="0.3">
      <c r="A44" s="8" t="s">
        <v>105</v>
      </c>
    </row>
    <row r="46" spans="1:8" outlineLevel="1" x14ac:dyDescent="0.3">
      <c r="A46" s="2" t="s">
        <v>234</v>
      </c>
      <c r="B46" s="58"/>
    </row>
    <row r="47" spans="1:8" outlineLevel="1" x14ac:dyDescent="0.3">
      <c r="A47" t="s">
        <v>53</v>
      </c>
      <c r="B47" s="4">
        <f>'CPVRR Sensitivities'!D29</f>
        <v>3.9000000000000004</v>
      </c>
    </row>
    <row r="48" spans="1:8" outlineLevel="1" x14ac:dyDescent="0.3">
      <c r="A48" t="s">
        <v>54</v>
      </c>
      <c r="B48" s="4">
        <f>'CPVRR Sensitivities'!D30</f>
        <v>0.41249999999999981</v>
      </c>
    </row>
    <row r="49" spans="1:2" outlineLevel="1" x14ac:dyDescent="0.3">
      <c r="A49" t="s">
        <v>99</v>
      </c>
      <c r="B49" s="4">
        <f>'CPVRR Sensitivities'!D28</f>
        <v>1.0818184308719427</v>
      </c>
    </row>
    <row r="50" spans="1:2" x14ac:dyDescent="0.3">
      <c r="A50" t="s">
        <v>98</v>
      </c>
      <c r="B50" s="3">
        <f>'Enjamio 5-13-15 O&amp;M Sensitivity'!L46</f>
        <v>1.0503663334551812</v>
      </c>
    </row>
  </sheetData>
  <pageMargins left="0.2" right="0.2" top="0.75" bottom="0.75" header="0.3" footer="0.3"/>
  <pageSetup scale="88" orientation="portrait" cellComments="asDisplayed" r:id="rId1"/>
  <headerFooter>
    <oddFooter>&amp;L&amp;f - &amp;a</oddFooter>
  </headerFooter>
  <ignoredErrors>
    <ignoredError sqref="J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8"/>
  <sheetViews>
    <sheetView workbookViewId="0">
      <selection activeCell="A10" sqref="A10"/>
    </sheetView>
  </sheetViews>
  <sheetFormatPr defaultColWidth="9.109375" defaultRowHeight="14.4" outlineLevelCol="1" x14ac:dyDescent="0.3"/>
  <cols>
    <col min="1" max="1" width="55" style="20" bestFit="1" customWidth="1"/>
    <col min="2" max="2" width="10.88671875" style="20" bestFit="1" customWidth="1"/>
    <col min="3" max="4" width="12.6640625" style="20" customWidth="1"/>
    <col min="5" max="5" width="18.6640625" style="20" customWidth="1"/>
    <col min="6" max="7" width="10.6640625" style="20" customWidth="1"/>
    <col min="8" max="8" width="12.6640625" style="20" customWidth="1"/>
    <col min="9" max="17" width="11.6640625" style="20" customWidth="1"/>
    <col min="18" max="28" width="12.6640625" style="20" customWidth="1"/>
    <col min="29" max="59" width="12.6640625" style="20" hidden="1" customWidth="1" outlineLevel="1"/>
    <col min="60" max="60" width="9.109375" style="20" collapsed="1"/>
    <col min="61" max="16384" width="9.109375" style="20"/>
  </cols>
  <sheetData>
    <row r="1" spans="1:99" ht="16.8" thickTop="1" thickBot="1" x14ac:dyDescent="0.35">
      <c r="A1" s="230" t="s">
        <v>14</v>
      </c>
      <c r="B1" s="231"/>
      <c r="C1" s="231"/>
      <c r="D1" s="231"/>
      <c r="E1" s="232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</row>
    <row r="2" spans="1:99" ht="16.2" thickBot="1" x14ac:dyDescent="0.35">
      <c r="A2" s="21" t="s">
        <v>15</v>
      </c>
      <c r="B2" s="22" t="s">
        <v>16</v>
      </c>
      <c r="C2" s="23"/>
      <c r="D2" s="23"/>
      <c r="E2" s="24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</row>
    <row r="3" spans="1:99" ht="16.2" thickBot="1" x14ac:dyDescent="0.35">
      <c r="A3" s="21" t="s">
        <v>17</v>
      </c>
      <c r="B3" s="25" t="s">
        <v>16</v>
      </c>
      <c r="C3" s="211"/>
      <c r="D3" s="211"/>
      <c r="E3" s="212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</row>
    <row r="4" spans="1:99" ht="16.2" thickBot="1" x14ac:dyDescent="0.35">
      <c r="A4" s="21" t="s">
        <v>18</v>
      </c>
      <c r="B4" s="25" t="s">
        <v>16</v>
      </c>
      <c r="C4" s="211"/>
      <c r="D4" s="211"/>
      <c r="E4" s="212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</row>
    <row r="5" spans="1:99" ht="16.2" thickBot="1" x14ac:dyDescent="0.35">
      <c r="A5" s="26" t="s">
        <v>19</v>
      </c>
      <c r="B5" s="214">
        <v>42036</v>
      </c>
      <c r="C5" s="215" t="s">
        <v>20</v>
      </c>
      <c r="D5" s="27"/>
      <c r="E5" s="2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</row>
    <row r="6" spans="1:99" ht="16.2" thickBot="1" x14ac:dyDescent="0.35">
      <c r="A6" s="21" t="s">
        <v>21</v>
      </c>
      <c r="B6" s="214">
        <v>42644</v>
      </c>
      <c r="C6" s="215" t="s">
        <v>20</v>
      </c>
      <c r="D6" s="27"/>
      <c r="E6" s="28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</row>
    <row r="7" spans="1:99" ht="16.2" thickBot="1" x14ac:dyDescent="0.35">
      <c r="A7" s="29" t="s">
        <v>22</v>
      </c>
      <c r="B7" s="216">
        <v>6.3399999999999998E-2</v>
      </c>
      <c r="C7" s="217" t="s">
        <v>23</v>
      </c>
      <c r="D7" s="218"/>
      <c r="E7" s="219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</row>
    <row r="8" spans="1:99" ht="16.2" thickTop="1" x14ac:dyDescent="0.3">
      <c r="A8" s="30"/>
      <c r="B8" s="220"/>
      <c r="C8" s="220"/>
      <c r="D8" s="220"/>
      <c r="E8" s="220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</row>
    <row r="9" spans="1:99" ht="26.4" customHeight="1" x14ac:dyDescent="0.3">
      <c r="A9" s="233" t="s">
        <v>260</v>
      </c>
      <c r="B9" s="220"/>
      <c r="C9" s="220"/>
      <c r="D9" s="220"/>
      <c r="E9" s="221" t="s">
        <v>24</v>
      </c>
      <c r="F9" s="222">
        <f>(B7+1)^(1/12)-1</f>
        <v>5.1357531740776619E-3</v>
      </c>
      <c r="G9" s="222">
        <f>F9</f>
        <v>5.1357531740776619E-3</v>
      </c>
      <c r="H9" s="222">
        <f t="shared" ref="H9:BG9" si="0">G9</f>
        <v>5.1357531740776619E-3</v>
      </c>
      <c r="I9" s="222">
        <f t="shared" si="0"/>
        <v>5.1357531740776619E-3</v>
      </c>
      <c r="J9" s="222">
        <f t="shared" si="0"/>
        <v>5.1357531740776619E-3</v>
      </c>
      <c r="K9" s="222">
        <f t="shared" si="0"/>
        <v>5.1357531740776619E-3</v>
      </c>
      <c r="L9" s="222">
        <f t="shared" si="0"/>
        <v>5.1357531740776619E-3</v>
      </c>
      <c r="M9" s="222">
        <f t="shared" si="0"/>
        <v>5.1357531740776619E-3</v>
      </c>
      <c r="N9" s="222">
        <f t="shared" si="0"/>
        <v>5.1357531740776619E-3</v>
      </c>
      <c r="O9" s="222">
        <f t="shared" si="0"/>
        <v>5.1357531740776619E-3</v>
      </c>
      <c r="P9" s="222">
        <f t="shared" si="0"/>
        <v>5.1357531740776619E-3</v>
      </c>
      <c r="Q9" s="222">
        <f t="shared" si="0"/>
        <v>5.1357531740776619E-3</v>
      </c>
      <c r="R9" s="222">
        <f t="shared" si="0"/>
        <v>5.1357531740776619E-3</v>
      </c>
      <c r="S9" s="222">
        <f t="shared" si="0"/>
        <v>5.1357531740776619E-3</v>
      </c>
      <c r="T9" s="222">
        <f t="shared" si="0"/>
        <v>5.1357531740776619E-3</v>
      </c>
      <c r="U9" s="222">
        <f t="shared" si="0"/>
        <v>5.1357531740776619E-3</v>
      </c>
      <c r="V9" s="222">
        <f t="shared" si="0"/>
        <v>5.1357531740776619E-3</v>
      </c>
      <c r="W9" s="222">
        <f t="shared" si="0"/>
        <v>5.1357531740776619E-3</v>
      </c>
      <c r="X9" s="222">
        <f t="shared" si="0"/>
        <v>5.1357531740776619E-3</v>
      </c>
      <c r="Y9" s="222">
        <f t="shared" si="0"/>
        <v>5.1357531740776619E-3</v>
      </c>
      <c r="Z9" s="222">
        <f t="shared" si="0"/>
        <v>5.1357531740776619E-3</v>
      </c>
      <c r="AA9" s="222">
        <f t="shared" si="0"/>
        <v>5.1357531740776619E-3</v>
      </c>
      <c r="AB9" s="222">
        <f t="shared" si="0"/>
        <v>5.1357531740776619E-3</v>
      </c>
      <c r="AC9" s="222">
        <f t="shared" si="0"/>
        <v>5.1357531740776619E-3</v>
      </c>
      <c r="AD9" s="222">
        <f t="shared" si="0"/>
        <v>5.1357531740776619E-3</v>
      </c>
      <c r="AE9" s="222">
        <f t="shared" si="0"/>
        <v>5.1357531740776619E-3</v>
      </c>
      <c r="AF9" s="222">
        <f t="shared" si="0"/>
        <v>5.1357531740776619E-3</v>
      </c>
      <c r="AG9" s="222">
        <f t="shared" si="0"/>
        <v>5.1357531740776619E-3</v>
      </c>
      <c r="AH9" s="222">
        <f t="shared" si="0"/>
        <v>5.1357531740776619E-3</v>
      </c>
      <c r="AI9" s="222">
        <f t="shared" si="0"/>
        <v>5.1357531740776619E-3</v>
      </c>
      <c r="AJ9" s="222">
        <f t="shared" si="0"/>
        <v>5.1357531740776619E-3</v>
      </c>
      <c r="AK9" s="222">
        <f t="shared" si="0"/>
        <v>5.1357531740776619E-3</v>
      </c>
      <c r="AL9" s="222">
        <f t="shared" si="0"/>
        <v>5.1357531740776619E-3</v>
      </c>
      <c r="AM9" s="222">
        <f t="shared" si="0"/>
        <v>5.1357531740776619E-3</v>
      </c>
      <c r="AN9" s="222">
        <f t="shared" si="0"/>
        <v>5.1357531740776619E-3</v>
      </c>
      <c r="AO9" s="222">
        <f t="shared" si="0"/>
        <v>5.1357531740776619E-3</v>
      </c>
      <c r="AP9" s="222">
        <f t="shared" si="0"/>
        <v>5.1357531740776619E-3</v>
      </c>
      <c r="AQ9" s="222">
        <f t="shared" si="0"/>
        <v>5.1357531740776619E-3</v>
      </c>
      <c r="AR9" s="222">
        <f t="shared" si="0"/>
        <v>5.1357531740776619E-3</v>
      </c>
      <c r="AS9" s="222">
        <f t="shared" si="0"/>
        <v>5.1357531740776619E-3</v>
      </c>
      <c r="AT9" s="222">
        <f t="shared" si="0"/>
        <v>5.1357531740776619E-3</v>
      </c>
      <c r="AU9" s="222">
        <f t="shared" si="0"/>
        <v>5.1357531740776619E-3</v>
      </c>
      <c r="AV9" s="222">
        <f t="shared" si="0"/>
        <v>5.1357531740776619E-3</v>
      </c>
      <c r="AW9" s="222">
        <f t="shared" si="0"/>
        <v>5.1357531740776619E-3</v>
      </c>
      <c r="AX9" s="222">
        <f t="shared" si="0"/>
        <v>5.1357531740776619E-3</v>
      </c>
      <c r="AY9" s="222">
        <f t="shared" si="0"/>
        <v>5.1357531740776619E-3</v>
      </c>
      <c r="AZ9" s="222">
        <f t="shared" si="0"/>
        <v>5.1357531740776619E-3</v>
      </c>
      <c r="BA9" s="222">
        <f t="shared" si="0"/>
        <v>5.1357531740776619E-3</v>
      </c>
      <c r="BB9" s="222">
        <f t="shared" si="0"/>
        <v>5.1357531740776619E-3</v>
      </c>
      <c r="BC9" s="222">
        <f t="shared" si="0"/>
        <v>5.1357531740776619E-3</v>
      </c>
      <c r="BD9" s="222">
        <f t="shared" si="0"/>
        <v>5.1357531740776619E-3</v>
      </c>
      <c r="BE9" s="222">
        <f t="shared" si="0"/>
        <v>5.1357531740776619E-3</v>
      </c>
      <c r="BF9" s="222">
        <f t="shared" si="0"/>
        <v>5.1357531740776619E-3</v>
      </c>
      <c r="BG9" s="222">
        <f t="shared" si="0"/>
        <v>5.1357531740776619E-3</v>
      </c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</row>
    <row r="10" spans="1:99" ht="15.6" x14ac:dyDescent="0.3">
      <c r="A10" s="30"/>
      <c r="B10" s="220"/>
      <c r="C10" s="220"/>
      <c r="D10" s="220"/>
      <c r="E10" s="221"/>
      <c r="F10" s="33">
        <v>2015</v>
      </c>
      <c r="G10" s="33">
        <v>2015</v>
      </c>
      <c r="H10" s="33">
        <v>2015</v>
      </c>
      <c r="I10" s="33">
        <v>2015</v>
      </c>
      <c r="J10" s="33">
        <v>2015</v>
      </c>
      <c r="K10" s="33">
        <v>2015</v>
      </c>
      <c r="L10" s="33">
        <v>2015</v>
      </c>
      <c r="M10" s="33">
        <v>2015</v>
      </c>
      <c r="N10" s="33">
        <v>2015</v>
      </c>
      <c r="O10" s="33">
        <v>2015</v>
      </c>
      <c r="P10" s="33">
        <v>2015</v>
      </c>
      <c r="Q10" s="33">
        <v>2016</v>
      </c>
      <c r="R10" s="33">
        <v>2016</v>
      </c>
      <c r="S10" s="33">
        <v>2016</v>
      </c>
      <c r="T10" s="33">
        <v>2016</v>
      </c>
      <c r="U10" s="33">
        <v>2016</v>
      </c>
      <c r="V10" s="33">
        <v>2016</v>
      </c>
      <c r="W10" s="33">
        <v>2016</v>
      </c>
      <c r="X10" s="33">
        <v>2016</v>
      </c>
      <c r="Y10" s="33">
        <v>2016</v>
      </c>
      <c r="Z10" s="33">
        <v>2016</v>
      </c>
      <c r="AA10" s="33">
        <v>2016</v>
      </c>
      <c r="AB10" s="33">
        <v>2016</v>
      </c>
      <c r="AC10" s="33">
        <v>2017</v>
      </c>
      <c r="AD10" s="33">
        <v>2017</v>
      </c>
      <c r="AE10" s="33">
        <v>2017</v>
      </c>
      <c r="AF10" s="33">
        <v>2017</v>
      </c>
      <c r="AG10" s="33">
        <v>2017</v>
      </c>
      <c r="AH10" s="33">
        <v>2017</v>
      </c>
      <c r="AI10" s="33">
        <v>2017</v>
      </c>
      <c r="AJ10" s="33">
        <v>2017</v>
      </c>
      <c r="AK10" s="33">
        <v>2017</v>
      </c>
      <c r="AL10" s="33">
        <v>2017</v>
      </c>
      <c r="AM10" s="33">
        <v>2017</v>
      </c>
      <c r="AN10" s="33">
        <v>2017</v>
      </c>
      <c r="AO10" s="33">
        <v>2018</v>
      </c>
      <c r="AP10" s="33">
        <v>2018</v>
      </c>
      <c r="AQ10" s="33">
        <v>2018</v>
      </c>
      <c r="AR10" s="33">
        <v>2018</v>
      </c>
      <c r="AS10" s="33">
        <v>2018</v>
      </c>
      <c r="AT10" s="33">
        <v>2018</v>
      </c>
      <c r="AU10" s="33">
        <v>2018</v>
      </c>
      <c r="AV10" s="33">
        <v>2018</v>
      </c>
      <c r="AW10" s="33">
        <v>2018</v>
      </c>
      <c r="AX10" s="33">
        <v>2018</v>
      </c>
      <c r="AY10" s="33">
        <v>2018</v>
      </c>
      <c r="AZ10" s="33">
        <v>2018</v>
      </c>
      <c r="BA10" s="33">
        <v>2019</v>
      </c>
      <c r="BB10" s="33">
        <v>2019</v>
      </c>
      <c r="BC10" s="33">
        <v>2019</v>
      </c>
      <c r="BD10" s="33">
        <v>2019</v>
      </c>
      <c r="BE10" s="33">
        <v>2019</v>
      </c>
      <c r="BF10" s="33">
        <v>2019</v>
      </c>
      <c r="BG10" s="33">
        <v>2019</v>
      </c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</row>
    <row r="11" spans="1:99" ht="15.6" x14ac:dyDescent="0.3">
      <c r="A11" s="31"/>
      <c r="B11" s="220"/>
      <c r="C11" s="220"/>
      <c r="D11" s="220"/>
      <c r="E11" s="220"/>
      <c r="F11" s="34">
        <v>42036</v>
      </c>
      <c r="G11" s="34">
        <v>42094</v>
      </c>
      <c r="H11" s="34">
        <v>42124</v>
      </c>
      <c r="I11" s="34">
        <v>42155</v>
      </c>
      <c r="J11" s="34">
        <v>42185</v>
      </c>
      <c r="K11" s="34">
        <v>42216</v>
      </c>
      <c r="L11" s="34">
        <v>42247</v>
      </c>
      <c r="M11" s="34">
        <v>42277</v>
      </c>
      <c r="N11" s="34">
        <v>42308</v>
      </c>
      <c r="O11" s="34">
        <v>42338</v>
      </c>
      <c r="P11" s="34">
        <v>42369</v>
      </c>
      <c r="Q11" s="34">
        <v>42400</v>
      </c>
      <c r="R11" s="34">
        <v>42429</v>
      </c>
      <c r="S11" s="34">
        <v>42460</v>
      </c>
      <c r="T11" s="34">
        <v>42490</v>
      </c>
      <c r="U11" s="34">
        <v>42521</v>
      </c>
      <c r="V11" s="34">
        <v>42551</v>
      </c>
      <c r="W11" s="34">
        <v>42582</v>
      </c>
      <c r="X11" s="34">
        <v>42613</v>
      </c>
      <c r="Y11" s="34">
        <v>42643</v>
      </c>
      <c r="Z11" s="34">
        <v>42674</v>
      </c>
      <c r="AA11" s="34">
        <v>42704</v>
      </c>
      <c r="AB11" s="34">
        <v>42735</v>
      </c>
      <c r="AC11" s="34">
        <v>42766</v>
      </c>
      <c r="AD11" s="34">
        <v>42794</v>
      </c>
      <c r="AE11" s="34">
        <v>42825</v>
      </c>
      <c r="AF11" s="34">
        <v>42855</v>
      </c>
      <c r="AG11" s="34">
        <v>42886</v>
      </c>
      <c r="AH11" s="34">
        <v>42916</v>
      </c>
      <c r="AI11" s="34">
        <v>42947</v>
      </c>
      <c r="AJ11" s="34">
        <v>42978</v>
      </c>
      <c r="AK11" s="34">
        <v>43008</v>
      </c>
      <c r="AL11" s="34">
        <v>43039</v>
      </c>
      <c r="AM11" s="34">
        <v>43069</v>
      </c>
      <c r="AN11" s="34">
        <v>43100</v>
      </c>
      <c r="AO11" s="34">
        <v>43131</v>
      </c>
      <c r="AP11" s="34">
        <v>43159</v>
      </c>
      <c r="AQ11" s="34">
        <v>43190</v>
      </c>
      <c r="AR11" s="34">
        <v>43220</v>
      </c>
      <c r="AS11" s="34">
        <v>43251</v>
      </c>
      <c r="AT11" s="34">
        <v>43281</v>
      </c>
      <c r="AU11" s="34">
        <v>43312</v>
      </c>
      <c r="AV11" s="34">
        <v>43343</v>
      </c>
      <c r="AW11" s="34">
        <v>43373</v>
      </c>
      <c r="AX11" s="34">
        <v>43404</v>
      </c>
      <c r="AY11" s="34">
        <v>43434</v>
      </c>
      <c r="AZ11" s="34">
        <v>43465</v>
      </c>
      <c r="BA11" s="34">
        <v>43496</v>
      </c>
      <c r="BB11" s="34">
        <v>43524</v>
      </c>
      <c r="BC11" s="34">
        <v>43555</v>
      </c>
      <c r="BD11" s="34">
        <v>43585</v>
      </c>
      <c r="BE11" s="34">
        <v>43616</v>
      </c>
      <c r="BF11" s="34">
        <v>43646</v>
      </c>
      <c r="BG11" s="34">
        <v>43677</v>
      </c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</row>
    <row r="12" spans="1:99" ht="15.6" x14ac:dyDescent="0.3">
      <c r="A12" s="31"/>
      <c r="B12" s="220"/>
      <c r="C12" s="220"/>
      <c r="D12" s="19" t="s">
        <v>132</v>
      </c>
      <c r="E12" s="224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5"/>
      <c r="AY12" s="225"/>
      <c r="AZ12" s="225"/>
      <c r="BA12" s="225"/>
      <c r="BB12" s="225"/>
      <c r="BC12" s="225"/>
      <c r="BD12" s="225"/>
      <c r="BE12" s="225"/>
      <c r="BF12" s="225"/>
      <c r="BG12" s="225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</row>
    <row r="13" spans="1:99" ht="15.6" x14ac:dyDescent="0.3">
      <c r="A13" s="36" t="s">
        <v>25</v>
      </c>
      <c r="B13" s="213"/>
      <c r="C13" s="211"/>
      <c r="D13" s="18" t="s">
        <v>133</v>
      </c>
      <c r="E13" s="211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226"/>
      <c r="AT13" s="39"/>
      <c r="AU13" s="39"/>
      <c r="AV13" s="39"/>
      <c r="AW13" s="39"/>
      <c r="AX13" s="39"/>
      <c r="AY13" s="40"/>
      <c r="AZ13" s="40"/>
      <c r="BA13" s="40"/>
      <c r="BB13" s="40"/>
      <c r="BC13" s="40"/>
      <c r="BD13" s="40"/>
      <c r="BE13" s="40"/>
      <c r="BF13" s="40"/>
      <c r="BG13" s="40"/>
      <c r="BH13" s="223"/>
      <c r="BI13" s="223"/>
      <c r="BJ13" s="223"/>
      <c r="BK13" s="213"/>
      <c r="BL13" s="213"/>
      <c r="BM13" s="213"/>
      <c r="BN13" s="213"/>
      <c r="BO13" s="213"/>
      <c r="BP13" s="213"/>
      <c r="BQ13" s="213"/>
      <c r="BR13" s="213"/>
    </row>
    <row r="14" spans="1:99" ht="15.6" x14ac:dyDescent="0.3">
      <c r="A14" s="41" t="s">
        <v>26</v>
      </c>
      <c r="C14" s="42"/>
      <c r="D14" s="101">
        <f>SUM(F14:AB14)</f>
        <v>416340000</v>
      </c>
      <c r="E14" s="43"/>
      <c r="F14" s="44">
        <v>3920000</v>
      </c>
      <c r="G14" s="44">
        <v>780000</v>
      </c>
      <c r="H14" s="44">
        <v>780000</v>
      </c>
      <c r="I14" s="44">
        <v>780000</v>
      </c>
      <c r="J14" s="44">
        <v>780000</v>
      </c>
      <c r="K14" s="44">
        <v>1890000</v>
      </c>
      <c r="L14" s="44">
        <v>780000</v>
      </c>
      <c r="M14" s="44">
        <v>1380000</v>
      </c>
      <c r="N14" s="44">
        <v>1380000</v>
      </c>
      <c r="O14" s="44">
        <v>1530000</v>
      </c>
      <c r="P14" s="44">
        <v>14310000</v>
      </c>
      <c r="Q14" s="44">
        <v>51450000</v>
      </c>
      <c r="R14" s="44">
        <v>55110000</v>
      </c>
      <c r="S14" s="44">
        <v>53430000</v>
      </c>
      <c r="T14" s="44">
        <v>50970000</v>
      </c>
      <c r="U14" s="44">
        <v>48960000</v>
      </c>
      <c r="V14" s="44">
        <v>44700000</v>
      </c>
      <c r="W14" s="44">
        <v>41640000</v>
      </c>
      <c r="X14" s="44">
        <v>37180000</v>
      </c>
      <c r="Y14" s="44">
        <v>4590000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45">
        <v>0</v>
      </c>
      <c r="BF14" s="45">
        <v>0</v>
      </c>
      <c r="BG14" s="45">
        <v>0</v>
      </c>
      <c r="BH14" s="46"/>
      <c r="BI14" s="46"/>
      <c r="BJ14" s="46"/>
    </row>
    <row r="15" spans="1:99" ht="15.6" x14ac:dyDescent="0.3">
      <c r="A15" s="41" t="s">
        <v>27</v>
      </c>
      <c r="C15" s="42"/>
      <c r="D15" s="101"/>
      <c r="E15" s="43"/>
      <c r="F15" s="45">
        <f t="shared" ref="F15:BG15" si="1">E14</f>
        <v>0</v>
      </c>
      <c r="G15" s="45">
        <f t="shared" si="1"/>
        <v>3920000</v>
      </c>
      <c r="H15" s="45">
        <f t="shared" si="1"/>
        <v>780000</v>
      </c>
      <c r="I15" s="45">
        <f t="shared" si="1"/>
        <v>780000</v>
      </c>
      <c r="J15" s="45">
        <f t="shared" si="1"/>
        <v>780000</v>
      </c>
      <c r="K15" s="45">
        <f t="shared" si="1"/>
        <v>780000</v>
      </c>
      <c r="L15" s="45">
        <f t="shared" si="1"/>
        <v>1890000</v>
      </c>
      <c r="M15" s="45">
        <f t="shared" si="1"/>
        <v>780000</v>
      </c>
      <c r="N15" s="45">
        <f t="shared" si="1"/>
        <v>1380000</v>
      </c>
      <c r="O15" s="45">
        <f t="shared" si="1"/>
        <v>1380000</v>
      </c>
      <c r="P15" s="45">
        <f t="shared" si="1"/>
        <v>1530000</v>
      </c>
      <c r="Q15" s="45">
        <f t="shared" si="1"/>
        <v>14310000</v>
      </c>
      <c r="R15" s="45">
        <f t="shared" si="1"/>
        <v>51450000</v>
      </c>
      <c r="S15" s="45">
        <f t="shared" si="1"/>
        <v>55110000</v>
      </c>
      <c r="T15" s="45">
        <f t="shared" si="1"/>
        <v>53430000</v>
      </c>
      <c r="U15" s="45">
        <f t="shared" si="1"/>
        <v>50970000</v>
      </c>
      <c r="V15" s="45">
        <f t="shared" si="1"/>
        <v>48960000</v>
      </c>
      <c r="W15" s="45">
        <f t="shared" si="1"/>
        <v>44700000</v>
      </c>
      <c r="X15" s="45">
        <f t="shared" si="1"/>
        <v>41640000</v>
      </c>
      <c r="Y15" s="45">
        <f t="shared" si="1"/>
        <v>37180000</v>
      </c>
      <c r="Z15" s="45">
        <f t="shared" si="1"/>
        <v>4590000</v>
      </c>
      <c r="AA15" s="45">
        <f t="shared" si="1"/>
        <v>0</v>
      </c>
      <c r="AB15" s="45">
        <f t="shared" si="1"/>
        <v>0</v>
      </c>
      <c r="AC15" s="45">
        <f t="shared" si="1"/>
        <v>0</v>
      </c>
      <c r="AD15" s="45">
        <f t="shared" si="1"/>
        <v>0</v>
      </c>
      <c r="AE15" s="45">
        <f t="shared" si="1"/>
        <v>0</v>
      </c>
      <c r="AF15" s="45">
        <f t="shared" si="1"/>
        <v>0</v>
      </c>
      <c r="AG15" s="45">
        <f t="shared" si="1"/>
        <v>0</v>
      </c>
      <c r="AH15" s="45">
        <f t="shared" si="1"/>
        <v>0</v>
      </c>
      <c r="AI15" s="45">
        <f t="shared" si="1"/>
        <v>0</v>
      </c>
      <c r="AJ15" s="45">
        <f t="shared" si="1"/>
        <v>0</v>
      </c>
      <c r="AK15" s="45">
        <f t="shared" si="1"/>
        <v>0</v>
      </c>
      <c r="AL15" s="45">
        <f t="shared" si="1"/>
        <v>0</v>
      </c>
      <c r="AM15" s="45">
        <f t="shared" si="1"/>
        <v>0</v>
      </c>
      <c r="AN15" s="45">
        <f t="shared" si="1"/>
        <v>0</v>
      </c>
      <c r="AO15" s="45">
        <f t="shared" si="1"/>
        <v>0</v>
      </c>
      <c r="AP15" s="45">
        <f t="shared" si="1"/>
        <v>0</v>
      </c>
      <c r="AQ15" s="45">
        <f t="shared" si="1"/>
        <v>0</v>
      </c>
      <c r="AR15" s="45">
        <f t="shared" si="1"/>
        <v>0</v>
      </c>
      <c r="AS15" s="45">
        <f t="shared" si="1"/>
        <v>0</v>
      </c>
      <c r="AT15" s="45">
        <f t="shared" si="1"/>
        <v>0</v>
      </c>
      <c r="AU15" s="45">
        <f t="shared" si="1"/>
        <v>0</v>
      </c>
      <c r="AV15" s="45">
        <f t="shared" si="1"/>
        <v>0</v>
      </c>
      <c r="AW15" s="45">
        <f t="shared" si="1"/>
        <v>0</v>
      </c>
      <c r="AX15" s="45">
        <f t="shared" si="1"/>
        <v>0</v>
      </c>
      <c r="AY15" s="45">
        <f t="shared" si="1"/>
        <v>0</v>
      </c>
      <c r="AZ15" s="45">
        <f t="shared" si="1"/>
        <v>0</v>
      </c>
      <c r="BA15" s="45">
        <f t="shared" si="1"/>
        <v>0</v>
      </c>
      <c r="BB15" s="45">
        <f t="shared" si="1"/>
        <v>0</v>
      </c>
      <c r="BC15" s="45">
        <f t="shared" si="1"/>
        <v>0</v>
      </c>
      <c r="BD15" s="45">
        <f t="shared" si="1"/>
        <v>0</v>
      </c>
      <c r="BE15" s="45">
        <f t="shared" si="1"/>
        <v>0</v>
      </c>
      <c r="BF15" s="45">
        <f t="shared" si="1"/>
        <v>0</v>
      </c>
      <c r="BG15" s="45">
        <f t="shared" si="1"/>
        <v>0</v>
      </c>
      <c r="BH15" s="46"/>
      <c r="BI15" s="46"/>
      <c r="BJ15" s="46"/>
    </row>
    <row r="16" spans="1:99" ht="15.6" x14ac:dyDescent="0.3">
      <c r="A16" s="41" t="s">
        <v>28</v>
      </c>
      <c r="C16" s="31"/>
      <c r="D16" s="101"/>
      <c r="E16" s="43"/>
      <c r="F16" s="45">
        <f t="shared" ref="F16:BG16" si="2">E16+F15</f>
        <v>0</v>
      </c>
      <c r="G16" s="45">
        <f t="shared" si="2"/>
        <v>3920000</v>
      </c>
      <c r="H16" s="45">
        <f t="shared" si="2"/>
        <v>4700000</v>
      </c>
      <c r="I16" s="45">
        <f t="shared" si="2"/>
        <v>5480000</v>
      </c>
      <c r="J16" s="45">
        <f t="shared" si="2"/>
        <v>6260000</v>
      </c>
      <c r="K16" s="45">
        <f t="shared" si="2"/>
        <v>7040000</v>
      </c>
      <c r="L16" s="45">
        <f t="shared" si="2"/>
        <v>8930000</v>
      </c>
      <c r="M16" s="45">
        <f t="shared" si="2"/>
        <v>9710000</v>
      </c>
      <c r="N16" s="45">
        <f t="shared" si="2"/>
        <v>11090000</v>
      </c>
      <c r="O16" s="45">
        <f t="shared" si="2"/>
        <v>12470000</v>
      </c>
      <c r="P16" s="45">
        <f t="shared" si="2"/>
        <v>14000000</v>
      </c>
      <c r="Q16" s="45">
        <f t="shared" si="2"/>
        <v>28310000</v>
      </c>
      <c r="R16" s="45">
        <f t="shared" si="2"/>
        <v>79760000</v>
      </c>
      <c r="S16" s="45">
        <f t="shared" si="2"/>
        <v>134870000</v>
      </c>
      <c r="T16" s="45">
        <f t="shared" si="2"/>
        <v>188300000</v>
      </c>
      <c r="U16" s="45">
        <f t="shared" si="2"/>
        <v>239270000</v>
      </c>
      <c r="V16" s="45">
        <f t="shared" si="2"/>
        <v>288230000</v>
      </c>
      <c r="W16" s="45">
        <f t="shared" si="2"/>
        <v>332930000</v>
      </c>
      <c r="X16" s="45">
        <f t="shared" si="2"/>
        <v>374570000</v>
      </c>
      <c r="Y16" s="45">
        <f t="shared" si="2"/>
        <v>411750000</v>
      </c>
      <c r="Z16" s="45">
        <f>Y16+Z15</f>
        <v>416340000</v>
      </c>
      <c r="AA16" s="45">
        <f t="shared" si="2"/>
        <v>416340000</v>
      </c>
      <c r="AB16" s="45">
        <f t="shared" si="2"/>
        <v>416340000</v>
      </c>
      <c r="AC16" s="45">
        <f t="shared" si="2"/>
        <v>416340000</v>
      </c>
      <c r="AD16" s="45">
        <f t="shared" si="2"/>
        <v>416340000</v>
      </c>
      <c r="AE16" s="45">
        <f t="shared" si="2"/>
        <v>416340000</v>
      </c>
      <c r="AF16" s="45">
        <f t="shared" si="2"/>
        <v>416340000</v>
      </c>
      <c r="AG16" s="45">
        <f t="shared" si="2"/>
        <v>416340000</v>
      </c>
      <c r="AH16" s="45">
        <f t="shared" si="2"/>
        <v>416340000</v>
      </c>
      <c r="AI16" s="45">
        <f t="shared" si="2"/>
        <v>416340000</v>
      </c>
      <c r="AJ16" s="45">
        <f t="shared" si="2"/>
        <v>416340000</v>
      </c>
      <c r="AK16" s="45">
        <f t="shared" si="2"/>
        <v>416340000</v>
      </c>
      <c r="AL16" s="45">
        <f t="shared" si="2"/>
        <v>416340000</v>
      </c>
      <c r="AM16" s="45">
        <f t="shared" si="2"/>
        <v>416340000</v>
      </c>
      <c r="AN16" s="45">
        <f t="shared" si="2"/>
        <v>416340000</v>
      </c>
      <c r="AO16" s="45">
        <f t="shared" si="2"/>
        <v>416340000</v>
      </c>
      <c r="AP16" s="45">
        <f t="shared" si="2"/>
        <v>416340000</v>
      </c>
      <c r="AQ16" s="45">
        <f t="shared" si="2"/>
        <v>416340000</v>
      </c>
      <c r="AR16" s="45">
        <f t="shared" si="2"/>
        <v>416340000</v>
      </c>
      <c r="AS16" s="45">
        <f t="shared" si="2"/>
        <v>416340000</v>
      </c>
      <c r="AT16" s="45">
        <f t="shared" si="2"/>
        <v>416340000</v>
      </c>
      <c r="AU16" s="45">
        <f t="shared" si="2"/>
        <v>416340000</v>
      </c>
      <c r="AV16" s="45">
        <f t="shared" si="2"/>
        <v>416340000</v>
      </c>
      <c r="AW16" s="45">
        <f t="shared" si="2"/>
        <v>416340000</v>
      </c>
      <c r="AX16" s="45">
        <f t="shared" si="2"/>
        <v>416340000</v>
      </c>
      <c r="AY16" s="45">
        <f t="shared" si="2"/>
        <v>416340000</v>
      </c>
      <c r="AZ16" s="45">
        <f t="shared" si="2"/>
        <v>416340000</v>
      </c>
      <c r="BA16" s="45">
        <f t="shared" si="2"/>
        <v>416340000</v>
      </c>
      <c r="BB16" s="45">
        <f t="shared" si="2"/>
        <v>416340000</v>
      </c>
      <c r="BC16" s="45">
        <f t="shared" si="2"/>
        <v>416340000</v>
      </c>
      <c r="BD16" s="45">
        <f t="shared" si="2"/>
        <v>416340000</v>
      </c>
      <c r="BE16" s="45">
        <f t="shared" si="2"/>
        <v>416340000</v>
      </c>
      <c r="BF16" s="45">
        <f t="shared" si="2"/>
        <v>416340000</v>
      </c>
      <c r="BG16" s="45">
        <f t="shared" si="2"/>
        <v>416340000</v>
      </c>
      <c r="BH16" s="46"/>
      <c r="BI16" s="46"/>
      <c r="BJ16" s="46"/>
    </row>
    <row r="17" spans="1:62" ht="15.6" x14ac:dyDescent="0.3">
      <c r="A17" s="41" t="s">
        <v>29</v>
      </c>
      <c r="C17" s="31"/>
      <c r="D17" s="101"/>
      <c r="E17" s="43"/>
      <c r="F17" s="45">
        <f t="shared" ref="F17:BG17" si="3">(F16+E16)/2</f>
        <v>0</v>
      </c>
      <c r="G17" s="45">
        <f t="shared" si="3"/>
        <v>1960000</v>
      </c>
      <c r="H17" s="45">
        <f t="shared" si="3"/>
        <v>4310000</v>
      </c>
      <c r="I17" s="45">
        <f t="shared" si="3"/>
        <v>5090000</v>
      </c>
      <c r="J17" s="45">
        <f t="shared" si="3"/>
        <v>5870000</v>
      </c>
      <c r="K17" s="45">
        <f t="shared" si="3"/>
        <v>6650000</v>
      </c>
      <c r="L17" s="45">
        <f t="shared" si="3"/>
        <v>7985000</v>
      </c>
      <c r="M17" s="45">
        <f t="shared" si="3"/>
        <v>9320000</v>
      </c>
      <c r="N17" s="45">
        <f t="shared" si="3"/>
        <v>10400000</v>
      </c>
      <c r="O17" s="45">
        <f t="shared" si="3"/>
        <v>11780000</v>
      </c>
      <c r="P17" s="45">
        <f t="shared" si="3"/>
        <v>13235000</v>
      </c>
      <c r="Q17" s="45">
        <f t="shared" si="3"/>
        <v>21155000</v>
      </c>
      <c r="R17" s="45">
        <f t="shared" si="3"/>
        <v>54035000</v>
      </c>
      <c r="S17" s="45">
        <f t="shared" si="3"/>
        <v>107315000</v>
      </c>
      <c r="T17" s="45">
        <f t="shared" si="3"/>
        <v>161585000</v>
      </c>
      <c r="U17" s="45">
        <f t="shared" si="3"/>
        <v>213785000</v>
      </c>
      <c r="V17" s="45">
        <f t="shared" si="3"/>
        <v>263750000</v>
      </c>
      <c r="W17" s="45">
        <f t="shared" si="3"/>
        <v>310580000</v>
      </c>
      <c r="X17" s="45">
        <f t="shared" si="3"/>
        <v>353750000</v>
      </c>
      <c r="Y17" s="45">
        <f t="shared" si="3"/>
        <v>393160000</v>
      </c>
      <c r="Z17" s="45">
        <f t="shared" si="3"/>
        <v>414045000</v>
      </c>
      <c r="AA17" s="45">
        <f t="shared" si="3"/>
        <v>416340000</v>
      </c>
      <c r="AB17" s="45">
        <f t="shared" si="3"/>
        <v>416340000</v>
      </c>
      <c r="AC17" s="45">
        <f t="shared" si="3"/>
        <v>416340000</v>
      </c>
      <c r="AD17" s="45">
        <f t="shared" si="3"/>
        <v>416340000</v>
      </c>
      <c r="AE17" s="45">
        <f t="shared" si="3"/>
        <v>416340000</v>
      </c>
      <c r="AF17" s="45">
        <f t="shared" si="3"/>
        <v>416340000</v>
      </c>
      <c r="AG17" s="45">
        <f t="shared" si="3"/>
        <v>416340000</v>
      </c>
      <c r="AH17" s="45">
        <f t="shared" si="3"/>
        <v>416340000</v>
      </c>
      <c r="AI17" s="45">
        <f t="shared" si="3"/>
        <v>416340000</v>
      </c>
      <c r="AJ17" s="45">
        <f t="shared" si="3"/>
        <v>416340000</v>
      </c>
      <c r="AK17" s="45">
        <f t="shared" si="3"/>
        <v>416340000</v>
      </c>
      <c r="AL17" s="45">
        <f t="shared" si="3"/>
        <v>416340000</v>
      </c>
      <c r="AM17" s="45">
        <f t="shared" si="3"/>
        <v>416340000</v>
      </c>
      <c r="AN17" s="45">
        <f t="shared" si="3"/>
        <v>416340000</v>
      </c>
      <c r="AO17" s="45">
        <f t="shared" si="3"/>
        <v>416340000</v>
      </c>
      <c r="AP17" s="45">
        <f t="shared" si="3"/>
        <v>416340000</v>
      </c>
      <c r="AQ17" s="45">
        <f t="shared" si="3"/>
        <v>416340000</v>
      </c>
      <c r="AR17" s="45">
        <f t="shared" si="3"/>
        <v>416340000</v>
      </c>
      <c r="AS17" s="45">
        <f t="shared" si="3"/>
        <v>416340000</v>
      </c>
      <c r="AT17" s="45">
        <f t="shared" si="3"/>
        <v>416340000</v>
      </c>
      <c r="AU17" s="45">
        <f t="shared" si="3"/>
        <v>416340000</v>
      </c>
      <c r="AV17" s="45">
        <f t="shared" si="3"/>
        <v>416340000</v>
      </c>
      <c r="AW17" s="45">
        <f t="shared" si="3"/>
        <v>416340000</v>
      </c>
      <c r="AX17" s="45">
        <f t="shared" si="3"/>
        <v>416340000</v>
      </c>
      <c r="AY17" s="45">
        <f t="shared" si="3"/>
        <v>416340000</v>
      </c>
      <c r="AZ17" s="45">
        <f t="shared" si="3"/>
        <v>416340000</v>
      </c>
      <c r="BA17" s="45">
        <f t="shared" si="3"/>
        <v>416340000</v>
      </c>
      <c r="BB17" s="45">
        <f t="shared" si="3"/>
        <v>416340000</v>
      </c>
      <c r="BC17" s="45">
        <f t="shared" si="3"/>
        <v>416340000</v>
      </c>
      <c r="BD17" s="45">
        <f t="shared" si="3"/>
        <v>416340000</v>
      </c>
      <c r="BE17" s="45">
        <f t="shared" si="3"/>
        <v>416340000</v>
      </c>
      <c r="BF17" s="45">
        <f t="shared" si="3"/>
        <v>416340000</v>
      </c>
      <c r="BG17" s="45">
        <f t="shared" si="3"/>
        <v>416340000</v>
      </c>
      <c r="BH17" s="46"/>
      <c r="BI17" s="46"/>
      <c r="BJ17" s="46"/>
    </row>
    <row r="18" spans="1:62" ht="15.6" x14ac:dyDescent="0.3">
      <c r="A18" s="41" t="s">
        <v>30</v>
      </c>
      <c r="C18" s="31"/>
      <c r="D18" s="101"/>
      <c r="E18" s="43"/>
      <c r="F18" s="45">
        <f>IF(F$11&gt;=$B$5,AND(F$11&lt;$B$6)*F17*F9,0)</f>
        <v>0</v>
      </c>
      <c r="G18" s="45">
        <f t="shared" ref="G18:BG18" si="4">IF(G$11&gt;=$B$5,AND(G$11&lt;$B$6)*G17*G9,0)</f>
        <v>10066.076221192217</v>
      </c>
      <c r="H18" s="45">
        <f t="shared" si="4"/>
        <v>22135.096180274722</v>
      </c>
      <c r="I18" s="45">
        <f t="shared" si="4"/>
        <v>26140.983656055298</v>
      </c>
      <c r="J18" s="45">
        <f t="shared" si="4"/>
        <v>30146.871131835876</v>
      </c>
      <c r="K18" s="45">
        <f t="shared" si="4"/>
        <v>34152.758607616452</v>
      </c>
      <c r="L18" s="45">
        <f t="shared" si="4"/>
        <v>41008.989095010133</v>
      </c>
      <c r="M18" s="45">
        <f t="shared" si="4"/>
        <v>47865.219582403806</v>
      </c>
      <c r="N18" s="45">
        <f t="shared" si="4"/>
        <v>53411.833010407681</v>
      </c>
      <c r="O18" s="45">
        <f t="shared" si="4"/>
        <v>60499.172390634856</v>
      </c>
      <c r="P18" s="45">
        <f t="shared" si="4"/>
        <v>67971.693258917861</v>
      </c>
      <c r="Q18" s="45">
        <f t="shared" si="4"/>
        <v>108646.85839761293</v>
      </c>
      <c r="R18" s="45">
        <f t="shared" si="4"/>
        <v>277510.42276128643</v>
      </c>
      <c r="S18" s="45">
        <f t="shared" si="4"/>
        <v>551143.3518761443</v>
      </c>
      <c r="T18" s="45">
        <f t="shared" si="4"/>
        <v>829860.67663333903</v>
      </c>
      <c r="U18" s="45">
        <f t="shared" si="4"/>
        <v>1097946.992320193</v>
      </c>
      <c r="V18" s="45">
        <f t="shared" si="4"/>
        <v>1354554.8996629834</v>
      </c>
      <c r="W18" s="45">
        <f t="shared" si="4"/>
        <v>1595062.2208050403</v>
      </c>
      <c r="X18" s="45">
        <f t="shared" si="4"/>
        <v>1816772.6853299728</v>
      </c>
      <c r="Y18" s="45">
        <f t="shared" si="4"/>
        <v>2019172.7179203734</v>
      </c>
      <c r="Z18" s="45">
        <f t="shared" si="4"/>
        <v>0</v>
      </c>
      <c r="AA18" s="45">
        <f t="shared" si="4"/>
        <v>0</v>
      </c>
      <c r="AB18" s="45">
        <f t="shared" si="4"/>
        <v>0</v>
      </c>
      <c r="AC18" s="45">
        <f t="shared" si="4"/>
        <v>0</v>
      </c>
      <c r="AD18" s="45">
        <f t="shared" si="4"/>
        <v>0</v>
      </c>
      <c r="AE18" s="45">
        <f t="shared" si="4"/>
        <v>0</v>
      </c>
      <c r="AF18" s="45">
        <f t="shared" si="4"/>
        <v>0</v>
      </c>
      <c r="AG18" s="45">
        <f t="shared" si="4"/>
        <v>0</v>
      </c>
      <c r="AH18" s="45">
        <f t="shared" si="4"/>
        <v>0</v>
      </c>
      <c r="AI18" s="45">
        <f t="shared" si="4"/>
        <v>0</v>
      </c>
      <c r="AJ18" s="45">
        <f t="shared" si="4"/>
        <v>0</v>
      </c>
      <c r="AK18" s="45">
        <f t="shared" si="4"/>
        <v>0</v>
      </c>
      <c r="AL18" s="45">
        <f t="shared" si="4"/>
        <v>0</v>
      </c>
      <c r="AM18" s="45">
        <f t="shared" si="4"/>
        <v>0</v>
      </c>
      <c r="AN18" s="45">
        <f t="shared" si="4"/>
        <v>0</v>
      </c>
      <c r="AO18" s="45">
        <f t="shared" si="4"/>
        <v>0</v>
      </c>
      <c r="AP18" s="45">
        <f t="shared" si="4"/>
        <v>0</v>
      </c>
      <c r="AQ18" s="45">
        <f t="shared" si="4"/>
        <v>0</v>
      </c>
      <c r="AR18" s="45">
        <f t="shared" si="4"/>
        <v>0</v>
      </c>
      <c r="AS18" s="45">
        <f t="shared" si="4"/>
        <v>0</v>
      </c>
      <c r="AT18" s="45">
        <f t="shared" si="4"/>
        <v>0</v>
      </c>
      <c r="AU18" s="45">
        <f t="shared" si="4"/>
        <v>0</v>
      </c>
      <c r="AV18" s="45">
        <f t="shared" si="4"/>
        <v>0</v>
      </c>
      <c r="AW18" s="45">
        <f t="shared" si="4"/>
        <v>0</v>
      </c>
      <c r="AX18" s="45">
        <f t="shared" si="4"/>
        <v>0</v>
      </c>
      <c r="AY18" s="45">
        <f t="shared" si="4"/>
        <v>0</v>
      </c>
      <c r="AZ18" s="45">
        <f t="shared" si="4"/>
        <v>0</v>
      </c>
      <c r="BA18" s="45">
        <f t="shared" si="4"/>
        <v>0</v>
      </c>
      <c r="BB18" s="45">
        <f t="shared" si="4"/>
        <v>0</v>
      </c>
      <c r="BC18" s="45">
        <f t="shared" si="4"/>
        <v>0</v>
      </c>
      <c r="BD18" s="45">
        <f t="shared" si="4"/>
        <v>0</v>
      </c>
      <c r="BE18" s="45">
        <f t="shared" si="4"/>
        <v>0</v>
      </c>
      <c r="BF18" s="45">
        <f t="shared" si="4"/>
        <v>0</v>
      </c>
      <c r="BG18" s="45">
        <f t="shared" si="4"/>
        <v>0</v>
      </c>
      <c r="BH18" s="46"/>
      <c r="BI18" s="46"/>
      <c r="BJ18" s="46"/>
    </row>
    <row r="19" spans="1:62" ht="15.6" x14ac:dyDescent="0.3">
      <c r="A19" s="41" t="s">
        <v>31</v>
      </c>
      <c r="C19" s="31"/>
      <c r="D19" s="101"/>
      <c r="E19" s="43"/>
      <c r="F19" s="45">
        <f t="shared" ref="F19:BG19" si="5">IF(F$11&gt;=$B$5,AND(F$11&lt;$B$6)*E21*F9,0)</f>
        <v>0</v>
      </c>
      <c r="G19" s="45">
        <f t="shared" si="5"/>
        <v>0</v>
      </c>
      <c r="H19" s="45">
        <f t="shared" si="5"/>
        <v>51.696882903495606</v>
      </c>
      <c r="I19" s="45">
        <f t="shared" si="5"/>
        <v>165.64277580031739</v>
      </c>
      <c r="J19" s="45">
        <f t="shared" si="5"/>
        <v>300.74711599699515</v>
      </c>
      <c r="K19" s="45">
        <f t="shared" si="5"/>
        <v>457.11856805640781</v>
      </c>
      <c r="L19" s="45">
        <f t="shared" si="5"/>
        <v>634.86635461580772</v>
      </c>
      <c r="M19" s="45">
        <f t="shared" si="5"/>
        <v>848.73891742205535</v>
      </c>
      <c r="N19" s="45">
        <f t="shared" si="5"/>
        <v>1098.9217844094235</v>
      </c>
      <c r="O19" s="45">
        <f t="shared" si="5"/>
        <v>1378.8755663682746</v>
      </c>
      <c r="P19" s="45">
        <f t="shared" si="5"/>
        <v>1696.6659475691831</v>
      </c>
      <c r="Q19" s="45">
        <f t="shared" si="5"/>
        <v>2054.4654444966818</v>
      </c>
      <c r="R19" s="45">
        <f t="shared" si="5"/>
        <v>2623.0001197933957</v>
      </c>
      <c r="S19" s="45">
        <f t="shared" si="5"/>
        <v>4061.6962355201413</v>
      </c>
      <c r="T19" s="45">
        <f t="shared" si="5"/>
        <v>6913.0923236235622</v>
      </c>
      <c r="U19" s="45">
        <f t="shared" si="5"/>
        <v>11210.555863529211</v>
      </c>
      <c r="V19" s="45">
        <f t="shared" si="5"/>
        <v>16906.91526216596</v>
      </c>
      <c r="W19" s="45">
        <f t="shared" si="5"/>
        <v>23950.404631294106</v>
      </c>
      <c r="X19" s="45">
        <f t="shared" si="5"/>
        <v>32265.253861250567</v>
      </c>
      <c r="Y19" s="45">
        <f t="shared" si="5"/>
        <v>41761.456326441912</v>
      </c>
      <c r="Z19" s="45">
        <f t="shared" si="5"/>
        <v>0</v>
      </c>
      <c r="AA19" s="45">
        <f t="shared" si="5"/>
        <v>0</v>
      </c>
      <c r="AB19" s="45">
        <f t="shared" si="5"/>
        <v>0</v>
      </c>
      <c r="AC19" s="45">
        <f t="shared" si="5"/>
        <v>0</v>
      </c>
      <c r="AD19" s="45">
        <f>IF(AD$11&gt;=$B$5,AND(AD$11&lt;$B$6)*E25*AD9,0)</f>
        <v>0</v>
      </c>
      <c r="AE19" s="45">
        <f t="shared" si="5"/>
        <v>0</v>
      </c>
      <c r="AF19" s="45">
        <f t="shared" si="5"/>
        <v>0</v>
      </c>
      <c r="AG19" s="45">
        <f t="shared" si="5"/>
        <v>0</v>
      </c>
      <c r="AH19" s="45">
        <f t="shared" si="5"/>
        <v>0</v>
      </c>
      <c r="AI19" s="45">
        <f t="shared" si="5"/>
        <v>0</v>
      </c>
      <c r="AJ19" s="45">
        <f t="shared" si="5"/>
        <v>0</v>
      </c>
      <c r="AK19" s="45">
        <f t="shared" si="5"/>
        <v>0</v>
      </c>
      <c r="AL19" s="45">
        <f t="shared" si="5"/>
        <v>0</v>
      </c>
      <c r="AM19" s="45">
        <f t="shared" si="5"/>
        <v>0</v>
      </c>
      <c r="AN19" s="45">
        <f t="shared" si="5"/>
        <v>0</v>
      </c>
      <c r="AO19" s="45">
        <f t="shared" si="5"/>
        <v>0</v>
      </c>
      <c r="AP19" s="45">
        <f t="shared" si="5"/>
        <v>0</v>
      </c>
      <c r="AQ19" s="45">
        <f t="shared" si="5"/>
        <v>0</v>
      </c>
      <c r="AR19" s="45">
        <f t="shared" si="5"/>
        <v>0</v>
      </c>
      <c r="AS19" s="45">
        <f t="shared" si="5"/>
        <v>0</v>
      </c>
      <c r="AT19" s="45">
        <f t="shared" si="5"/>
        <v>0</v>
      </c>
      <c r="AU19" s="45">
        <f t="shared" si="5"/>
        <v>0</v>
      </c>
      <c r="AV19" s="45">
        <f t="shared" si="5"/>
        <v>0</v>
      </c>
      <c r="AW19" s="45">
        <f t="shared" si="5"/>
        <v>0</v>
      </c>
      <c r="AX19" s="45">
        <f t="shared" si="5"/>
        <v>0</v>
      </c>
      <c r="AY19" s="45">
        <f t="shared" si="5"/>
        <v>0</v>
      </c>
      <c r="AZ19" s="45">
        <f t="shared" si="5"/>
        <v>0</v>
      </c>
      <c r="BA19" s="45">
        <f t="shared" si="5"/>
        <v>0</v>
      </c>
      <c r="BB19" s="45">
        <f t="shared" si="5"/>
        <v>0</v>
      </c>
      <c r="BC19" s="45">
        <f t="shared" si="5"/>
        <v>0</v>
      </c>
      <c r="BD19" s="45">
        <f t="shared" si="5"/>
        <v>0</v>
      </c>
      <c r="BE19" s="45">
        <f t="shared" si="5"/>
        <v>0</v>
      </c>
      <c r="BF19" s="45">
        <f t="shared" si="5"/>
        <v>0</v>
      </c>
      <c r="BG19" s="45">
        <f t="shared" si="5"/>
        <v>0</v>
      </c>
      <c r="BH19" s="46"/>
      <c r="BI19" s="46"/>
      <c r="BJ19" s="46"/>
    </row>
    <row r="20" spans="1:62" ht="15.6" x14ac:dyDescent="0.3">
      <c r="A20" s="41" t="s">
        <v>32</v>
      </c>
      <c r="C20" s="31"/>
      <c r="D20" s="43"/>
      <c r="E20" s="43"/>
      <c r="F20" s="47">
        <f t="shared" ref="F20:BG20" si="6">SUM(F18:F19)</f>
        <v>0</v>
      </c>
      <c r="G20" s="47">
        <f t="shared" si="6"/>
        <v>10066.076221192217</v>
      </c>
      <c r="H20" s="47">
        <f t="shared" si="6"/>
        <v>22186.793063178218</v>
      </c>
      <c r="I20" s="47">
        <f t="shared" si="6"/>
        <v>26306.626431855613</v>
      </c>
      <c r="J20" s="47">
        <f t="shared" si="6"/>
        <v>30447.61824783287</v>
      </c>
      <c r="K20" s="47">
        <f t="shared" si="6"/>
        <v>34609.87717567286</v>
      </c>
      <c r="L20" s="47">
        <f t="shared" si="6"/>
        <v>41643.855449625938</v>
      </c>
      <c r="M20" s="47">
        <f t="shared" si="6"/>
        <v>48713.958499825865</v>
      </c>
      <c r="N20" s="47">
        <f t="shared" si="6"/>
        <v>54510.754794817105</v>
      </c>
      <c r="O20" s="47">
        <f t="shared" si="6"/>
        <v>61878.047957003131</v>
      </c>
      <c r="P20" s="47">
        <f t="shared" si="6"/>
        <v>69668.359206487046</v>
      </c>
      <c r="Q20" s="47">
        <f t="shared" si="6"/>
        <v>110701.32384210962</v>
      </c>
      <c r="R20" s="47">
        <f t="shared" si="6"/>
        <v>280133.42288107984</v>
      </c>
      <c r="S20" s="47">
        <f t="shared" si="6"/>
        <v>555205.04811166448</v>
      </c>
      <c r="T20" s="47">
        <f t="shared" si="6"/>
        <v>836773.76895696262</v>
      </c>
      <c r="U20" s="47">
        <f t="shared" si="6"/>
        <v>1109157.5481837222</v>
      </c>
      <c r="V20" s="47">
        <f t="shared" si="6"/>
        <v>1371461.8149251493</v>
      </c>
      <c r="W20" s="47">
        <f t="shared" si="6"/>
        <v>1619012.6254363344</v>
      </c>
      <c r="X20" s="47">
        <f t="shared" si="6"/>
        <v>1849037.9391912234</v>
      </c>
      <c r="Y20" s="47">
        <f t="shared" si="6"/>
        <v>2060934.1742468153</v>
      </c>
      <c r="Z20" s="47">
        <f t="shared" si="6"/>
        <v>0</v>
      </c>
      <c r="AA20" s="47">
        <f t="shared" si="6"/>
        <v>0</v>
      </c>
      <c r="AB20" s="47">
        <f t="shared" si="6"/>
        <v>0</v>
      </c>
      <c r="AC20" s="47">
        <f t="shared" si="6"/>
        <v>0</v>
      </c>
      <c r="AD20" s="47">
        <f t="shared" si="6"/>
        <v>0</v>
      </c>
      <c r="AE20" s="47">
        <f t="shared" si="6"/>
        <v>0</v>
      </c>
      <c r="AF20" s="47">
        <f t="shared" si="6"/>
        <v>0</v>
      </c>
      <c r="AG20" s="47">
        <f t="shared" si="6"/>
        <v>0</v>
      </c>
      <c r="AH20" s="47">
        <f t="shared" si="6"/>
        <v>0</v>
      </c>
      <c r="AI20" s="47">
        <f t="shared" si="6"/>
        <v>0</v>
      </c>
      <c r="AJ20" s="47">
        <f t="shared" si="6"/>
        <v>0</v>
      </c>
      <c r="AK20" s="47">
        <f t="shared" si="6"/>
        <v>0</v>
      </c>
      <c r="AL20" s="47">
        <f t="shared" si="6"/>
        <v>0</v>
      </c>
      <c r="AM20" s="47">
        <f t="shared" si="6"/>
        <v>0</v>
      </c>
      <c r="AN20" s="47">
        <f t="shared" si="6"/>
        <v>0</v>
      </c>
      <c r="AO20" s="47">
        <f t="shared" si="6"/>
        <v>0</v>
      </c>
      <c r="AP20" s="47">
        <f t="shared" si="6"/>
        <v>0</v>
      </c>
      <c r="AQ20" s="47">
        <f t="shared" si="6"/>
        <v>0</v>
      </c>
      <c r="AR20" s="47">
        <f t="shared" si="6"/>
        <v>0</v>
      </c>
      <c r="AS20" s="47">
        <f t="shared" si="6"/>
        <v>0</v>
      </c>
      <c r="AT20" s="47">
        <f t="shared" si="6"/>
        <v>0</v>
      </c>
      <c r="AU20" s="47">
        <f t="shared" si="6"/>
        <v>0</v>
      </c>
      <c r="AV20" s="47">
        <f t="shared" si="6"/>
        <v>0</v>
      </c>
      <c r="AW20" s="47">
        <f t="shared" si="6"/>
        <v>0</v>
      </c>
      <c r="AX20" s="47">
        <f t="shared" si="6"/>
        <v>0</v>
      </c>
      <c r="AY20" s="47">
        <f t="shared" si="6"/>
        <v>0</v>
      </c>
      <c r="AZ20" s="47">
        <f t="shared" si="6"/>
        <v>0</v>
      </c>
      <c r="BA20" s="47">
        <f t="shared" si="6"/>
        <v>0</v>
      </c>
      <c r="BB20" s="47">
        <f t="shared" si="6"/>
        <v>0</v>
      </c>
      <c r="BC20" s="47">
        <f t="shared" si="6"/>
        <v>0</v>
      </c>
      <c r="BD20" s="47">
        <f t="shared" si="6"/>
        <v>0</v>
      </c>
      <c r="BE20" s="47">
        <f t="shared" si="6"/>
        <v>0</v>
      </c>
      <c r="BF20" s="47">
        <f t="shared" si="6"/>
        <v>0</v>
      </c>
      <c r="BG20" s="47">
        <f t="shared" si="6"/>
        <v>0</v>
      </c>
      <c r="BH20" s="46"/>
      <c r="BI20" s="46"/>
      <c r="BJ20" s="46"/>
    </row>
    <row r="21" spans="1:62" ht="15.6" x14ac:dyDescent="0.3">
      <c r="A21" s="41" t="s">
        <v>33</v>
      </c>
      <c r="C21" s="31"/>
      <c r="E21" s="43"/>
      <c r="F21" s="45">
        <f>F20</f>
        <v>0</v>
      </c>
      <c r="G21" s="45">
        <f t="shared" ref="G21:BG21" si="7">G20+F21</f>
        <v>10066.076221192217</v>
      </c>
      <c r="H21" s="45">
        <f t="shared" si="7"/>
        <v>32252.869284370434</v>
      </c>
      <c r="I21" s="45">
        <f t="shared" si="7"/>
        <v>58559.495716226047</v>
      </c>
      <c r="J21" s="45">
        <f t="shared" si="7"/>
        <v>89007.113964058924</v>
      </c>
      <c r="K21" s="45">
        <f t="shared" si="7"/>
        <v>123616.99113973178</v>
      </c>
      <c r="L21" s="45">
        <f t="shared" si="7"/>
        <v>165260.84658935771</v>
      </c>
      <c r="M21" s="45">
        <f t="shared" si="7"/>
        <v>213974.80508918356</v>
      </c>
      <c r="N21" s="45">
        <f t="shared" si="7"/>
        <v>268485.55988400069</v>
      </c>
      <c r="O21" s="45">
        <f t="shared" si="7"/>
        <v>330363.6078410038</v>
      </c>
      <c r="P21" s="45">
        <f t="shared" si="7"/>
        <v>400031.96704749088</v>
      </c>
      <c r="Q21" s="45">
        <f t="shared" si="7"/>
        <v>510733.29088960052</v>
      </c>
      <c r="R21" s="45">
        <f t="shared" si="7"/>
        <v>790866.71377068036</v>
      </c>
      <c r="S21" s="45">
        <f t="shared" si="7"/>
        <v>1346071.7618823447</v>
      </c>
      <c r="T21" s="45">
        <f t="shared" si="7"/>
        <v>2182845.5308393072</v>
      </c>
      <c r="U21" s="45">
        <f t="shared" si="7"/>
        <v>3292003.0790230297</v>
      </c>
      <c r="V21" s="45">
        <f t="shared" si="7"/>
        <v>4663464.8939481787</v>
      </c>
      <c r="W21" s="45">
        <f t="shared" si="7"/>
        <v>6282477.5193845127</v>
      </c>
      <c r="X21" s="45">
        <f t="shared" si="7"/>
        <v>8131515.4585757358</v>
      </c>
      <c r="Y21" s="45">
        <f t="shared" si="7"/>
        <v>10192449.632822551</v>
      </c>
      <c r="Z21" s="45">
        <f t="shared" si="7"/>
        <v>10192449.632822551</v>
      </c>
      <c r="AA21" s="45">
        <f t="shared" si="7"/>
        <v>10192449.632822551</v>
      </c>
      <c r="AB21" s="45">
        <f t="shared" si="7"/>
        <v>10192449.632822551</v>
      </c>
      <c r="AD21" s="45">
        <f>AD20+E25</f>
        <v>16973296.998694919</v>
      </c>
      <c r="AE21" s="45">
        <f t="shared" si="7"/>
        <v>16973296.998694919</v>
      </c>
      <c r="AF21" s="45">
        <f t="shared" si="7"/>
        <v>16973296.998694919</v>
      </c>
      <c r="AG21" s="45">
        <f t="shared" si="7"/>
        <v>16973296.998694919</v>
      </c>
      <c r="AH21" s="45">
        <f t="shared" si="7"/>
        <v>16973296.998694919</v>
      </c>
      <c r="AI21" s="45">
        <f t="shared" si="7"/>
        <v>16973296.998694919</v>
      </c>
      <c r="AJ21" s="45">
        <f t="shared" si="7"/>
        <v>16973296.998694919</v>
      </c>
      <c r="AK21" s="45">
        <f t="shared" si="7"/>
        <v>16973296.998694919</v>
      </c>
      <c r="AL21" s="45">
        <f t="shared" si="7"/>
        <v>16973296.998694919</v>
      </c>
      <c r="AM21" s="45">
        <f t="shared" si="7"/>
        <v>16973296.998694919</v>
      </c>
      <c r="AN21" s="45">
        <f t="shared" si="7"/>
        <v>16973296.998694919</v>
      </c>
      <c r="AO21" s="45">
        <f t="shared" si="7"/>
        <v>16973296.998694919</v>
      </c>
      <c r="AP21" s="45">
        <f t="shared" si="7"/>
        <v>16973296.998694919</v>
      </c>
      <c r="AQ21" s="45">
        <f t="shared" si="7"/>
        <v>16973296.998694919</v>
      </c>
      <c r="AR21" s="45">
        <f t="shared" si="7"/>
        <v>16973296.998694919</v>
      </c>
      <c r="AS21" s="45">
        <f t="shared" si="7"/>
        <v>16973296.998694919</v>
      </c>
      <c r="AT21" s="45">
        <f t="shared" si="7"/>
        <v>16973296.998694919</v>
      </c>
      <c r="AU21" s="45">
        <f t="shared" si="7"/>
        <v>16973296.998694919</v>
      </c>
      <c r="AV21" s="45">
        <f t="shared" si="7"/>
        <v>16973296.998694919</v>
      </c>
      <c r="AW21" s="45">
        <f t="shared" si="7"/>
        <v>16973296.998694919</v>
      </c>
      <c r="AX21" s="45">
        <f t="shared" si="7"/>
        <v>16973296.998694919</v>
      </c>
      <c r="AY21" s="45">
        <f t="shared" si="7"/>
        <v>16973296.998694919</v>
      </c>
      <c r="AZ21" s="45">
        <f t="shared" si="7"/>
        <v>16973296.998694919</v>
      </c>
      <c r="BA21" s="45">
        <f t="shared" si="7"/>
        <v>16973296.998694919</v>
      </c>
      <c r="BB21" s="45">
        <f t="shared" si="7"/>
        <v>16973296.998694919</v>
      </c>
      <c r="BC21" s="45">
        <f t="shared" si="7"/>
        <v>16973296.998694919</v>
      </c>
      <c r="BD21" s="45">
        <f t="shared" si="7"/>
        <v>16973296.998694919</v>
      </c>
      <c r="BE21" s="45">
        <f t="shared" si="7"/>
        <v>16973296.998694919</v>
      </c>
      <c r="BF21" s="45">
        <f t="shared" si="7"/>
        <v>16973296.998694919</v>
      </c>
      <c r="BG21" s="45">
        <f t="shared" si="7"/>
        <v>16973296.998694919</v>
      </c>
      <c r="BH21" s="46"/>
      <c r="BI21" s="46"/>
      <c r="BJ21" s="46"/>
    </row>
    <row r="22" spans="1:62" ht="15.6" x14ac:dyDescent="0.3">
      <c r="A22" s="41"/>
      <c r="C22" s="31"/>
      <c r="D22" s="43" t="s">
        <v>34</v>
      </c>
      <c r="E22" s="45">
        <f>AB21</f>
        <v>10192449.632822551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6"/>
      <c r="BI22" s="46"/>
      <c r="BJ22" s="46"/>
    </row>
    <row r="23" spans="1:62" ht="27" x14ac:dyDescent="0.3">
      <c r="A23" s="48"/>
      <c r="B23" s="48"/>
      <c r="C23" s="31"/>
      <c r="D23" s="49" t="s">
        <v>35</v>
      </c>
      <c r="E23" s="50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</row>
    <row r="24" spans="1:62" ht="15.6" x14ac:dyDescent="0.3">
      <c r="A24" s="51" t="s">
        <v>37</v>
      </c>
      <c r="B24" s="31"/>
      <c r="C24" s="52" t="s">
        <v>38</v>
      </c>
      <c r="D24" s="53">
        <v>13.7</v>
      </c>
      <c r="E24" s="54">
        <v>14938408.971396372</v>
      </c>
      <c r="F24" s="45">
        <v>3920000</v>
      </c>
      <c r="G24" s="45">
        <v>780000</v>
      </c>
      <c r="H24" s="45">
        <v>68580000</v>
      </c>
      <c r="I24" s="45">
        <v>780000</v>
      </c>
      <c r="J24" s="45">
        <v>780000</v>
      </c>
      <c r="K24" s="45">
        <v>1890000</v>
      </c>
      <c r="L24" s="45">
        <v>780000</v>
      </c>
      <c r="M24" s="45">
        <v>1380000</v>
      </c>
      <c r="N24" s="45">
        <v>1380000</v>
      </c>
      <c r="O24" s="45">
        <v>1530000</v>
      </c>
      <c r="P24" s="45">
        <v>14310000</v>
      </c>
      <c r="Q24" s="45">
        <v>44250000</v>
      </c>
      <c r="R24" s="45">
        <v>47880000</v>
      </c>
      <c r="S24" s="45">
        <v>46200000</v>
      </c>
      <c r="T24" s="45">
        <v>43770000</v>
      </c>
      <c r="U24" s="45">
        <v>41730000</v>
      </c>
      <c r="V24" s="45">
        <v>37470000</v>
      </c>
      <c r="W24" s="45">
        <v>31080000</v>
      </c>
      <c r="X24" s="45">
        <v>26590000</v>
      </c>
      <c r="Y24" s="45">
        <v>1230000</v>
      </c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 spans="1:62" ht="15.6" x14ac:dyDescent="0.3">
      <c r="A25" s="31" t="s">
        <v>39</v>
      </c>
      <c r="B25" s="31"/>
      <c r="C25" s="52" t="s">
        <v>40</v>
      </c>
      <c r="D25" s="53">
        <v>15.3</v>
      </c>
      <c r="E25" s="45">
        <v>16973296.998694919</v>
      </c>
      <c r="F25" s="44">
        <v>3920000</v>
      </c>
      <c r="G25" s="44">
        <v>780000</v>
      </c>
      <c r="H25" s="44">
        <v>100320000</v>
      </c>
      <c r="I25" s="44">
        <v>780000</v>
      </c>
      <c r="J25" s="44">
        <v>780000</v>
      </c>
      <c r="K25" s="44">
        <v>1890000</v>
      </c>
      <c r="L25" s="44">
        <v>780000</v>
      </c>
      <c r="M25" s="44">
        <v>1380000</v>
      </c>
      <c r="N25" s="44">
        <v>1380000</v>
      </c>
      <c r="O25" s="44">
        <v>1530000</v>
      </c>
      <c r="P25" s="44">
        <v>14310000</v>
      </c>
      <c r="Q25" s="44">
        <v>39420000</v>
      </c>
      <c r="R25" s="44">
        <v>43080000</v>
      </c>
      <c r="S25" s="44">
        <v>41400000</v>
      </c>
      <c r="T25" s="44">
        <v>38970000</v>
      </c>
      <c r="U25" s="44">
        <v>36930000</v>
      </c>
      <c r="V25" s="44">
        <v>32670000</v>
      </c>
      <c r="W25" s="44">
        <v>29610000</v>
      </c>
      <c r="X25" s="44">
        <v>25150000</v>
      </c>
      <c r="Y25" s="44">
        <v>1230000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 spans="1:62" ht="15.6" x14ac:dyDescent="0.3">
      <c r="A26" s="31" t="s">
        <v>41</v>
      </c>
      <c r="B26" s="31"/>
      <c r="C26" s="52" t="s">
        <v>1</v>
      </c>
      <c r="D26" s="35">
        <v>9.9</v>
      </c>
      <c r="E26" s="45">
        <v>10192449.632822551</v>
      </c>
      <c r="F26" s="44">
        <v>3920000</v>
      </c>
      <c r="G26" s="44">
        <v>780000</v>
      </c>
      <c r="H26" s="44">
        <v>780000</v>
      </c>
      <c r="I26" s="44">
        <v>780000</v>
      </c>
      <c r="J26" s="44">
        <v>780000</v>
      </c>
      <c r="K26" s="44">
        <v>1890000</v>
      </c>
      <c r="L26" s="44">
        <v>780000</v>
      </c>
      <c r="M26" s="44">
        <v>1380000</v>
      </c>
      <c r="N26" s="44">
        <v>1380000</v>
      </c>
      <c r="O26" s="44">
        <v>1530000</v>
      </c>
      <c r="P26" s="44">
        <v>14310000</v>
      </c>
      <c r="Q26" s="44">
        <v>51450000</v>
      </c>
      <c r="R26" s="44">
        <v>55110000</v>
      </c>
      <c r="S26" s="44">
        <v>53430000</v>
      </c>
      <c r="T26" s="44">
        <v>50970000</v>
      </c>
      <c r="U26" s="44">
        <v>48960000</v>
      </c>
      <c r="V26" s="44">
        <v>44700000</v>
      </c>
      <c r="W26" s="44">
        <v>41640000</v>
      </c>
      <c r="X26" s="44">
        <v>37180000</v>
      </c>
      <c r="Y26" s="44">
        <v>4590000</v>
      </c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 spans="1:62" ht="15.6" x14ac:dyDescent="0.3">
      <c r="A27" s="31" t="s">
        <v>42</v>
      </c>
      <c r="B27" s="31"/>
      <c r="C27" s="52" t="s">
        <v>43</v>
      </c>
      <c r="D27" s="53">
        <v>11.4</v>
      </c>
      <c r="E27" s="45">
        <v>12007759.151745593</v>
      </c>
      <c r="F27" s="44">
        <v>3920000</v>
      </c>
      <c r="G27" s="44">
        <v>780000</v>
      </c>
      <c r="H27" s="44">
        <v>24180000</v>
      </c>
      <c r="I27" s="44">
        <v>780000</v>
      </c>
      <c r="J27" s="44">
        <v>780000</v>
      </c>
      <c r="K27" s="44">
        <v>1890000</v>
      </c>
      <c r="L27" s="44">
        <v>780000</v>
      </c>
      <c r="M27" s="44">
        <v>1380000</v>
      </c>
      <c r="N27" s="44">
        <v>1380000</v>
      </c>
      <c r="O27" s="44">
        <v>1530000</v>
      </c>
      <c r="P27" s="44">
        <v>14310000</v>
      </c>
      <c r="Q27" s="44">
        <v>49950000</v>
      </c>
      <c r="R27" s="44">
        <v>53610000</v>
      </c>
      <c r="S27" s="44">
        <v>51930000</v>
      </c>
      <c r="T27" s="44">
        <v>49500000</v>
      </c>
      <c r="U27" s="44">
        <v>47460000</v>
      </c>
      <c r="V27" s="44">
        <v>43200000</v>
      </c>
      <c r="W27" s="44">
        <v>40140000</v>
      </c>
      <c r="X27" s="44">
        <v>35680000</v>
      </c>
      <c r="Y27" s="44">
        <v>1230000</v>
      </c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62" ht="15.6" x14ac:dyDescent="0.3">
      <c r="A28" s="31" t="s">
        <v>44</v>
      </c>
      <c r="B28" s="31"/>
      <c r="C28" s="52" t="s">
        <v>1</v>
      </c>
      <c r="D28" s="55">
        <f>D24/E24*E28</f>
        <v>13.126613585267625</v>
      </c>
      <c r="E28" s="45">
        <v>14313191.39753397</v>
      </c>
      <c r="F28" s="44">
        <v>3920000</v>
      </c>
      <c r="G28" s="44">
        <v>780000</v>
      </c>
      <c r="H28" s="44">
        <v>59130000</v>
      </c>
      <c r="I28" s="44">
        <v>780000</v>
      </c>
      <c r="J28" s="44">
        <v>780000</v>
      </c>
      <c r="K28" s="44">
        <v>1890000</v>
      </c>
      <c r="L28" s="44">
        <v>780000</v>
      </c>
      <c r="M28" s="44">
        <v>1380000</v>
      </c>
      <c r="N28" s="44">
        <v>1380000</v>
      </c>
      <c r="O28" s="44">
        <v>1530000</v>
      </c>
      <c r="P28" s="44">
        <v>15450000</v>
      </c>
      <c r="Q28" s="44">
        <v>45240000</v>
      </c>
      <c r="R28" s="44">
        <v>48900000</v>
      </c>
      <c r="S28" s="44">
        <v>47220000</v>
      </c>
      <c r="T28" s="44">
        <v>44760000</v>
      </c>
      <c r="U28" s="44">
        <v>42750000</v>
      </c>
      <c r="V28" s="44">
        <v>38490000</v>
      </c>
      <c r="W28" s="44">
        <v>31110000</v>
      </c>
      <c r="X28" s="44">
        <v>26650000</v>
      </c>
      <c r="Y28" s="44">
        <v>1230000</v>
      </c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</row>
    <row r="29" spans="1:62" ht="15.6" x14ac:dyDescent="0.3">
      <c r="A29" s="31"/>
      <c r="B29" s="31"/>
      <c r="C29" s="52"/>
      <c r="D29" s="55"/>
      <c r="E29" s="45" t="s">
        <v>238</v>
      </c>
      <c r="F29" s="196">
        <f>F26/SUM($F26:$Y26)</f>
        <v>9.4153816592208294E-3</v>
      </c>
      <c r="G29" s="196">
        <f t="shared" ref="G29:Y29" si="8">G26/SUM($F26:$Y26)</f>
        <v>1.8734687995388384E-3</v>
      </c>
      <c r="H29" s="196">
        <f t="shared" si="8"/>
        <v>1.8734687995388384E-3</v>
      </c>
      <c r="I29" s="196">
        <f t="shared" si="8"/>
        <v>1.8734687995388384E-3</v>
      </c>
      <c r="J29" s="196">
        <f t="shared" si="8"/>
        <v>1.8734687995388384E-3</v>
      </c>
      <c r="K29" s="196">
        <f t="shared" si="8"/>
        <v>4.5395590142671858E-3</v>
      </c>
      <c r="L29" s="196">
        <f t="shared" si="8"/>
        <v>1.8734687995388384E-3</v>
      </c>
      <c r="M29" s="196">
        <f t="shared" si="8"/>
        <v>3.3145986453379447E-3</v>
      </c>
      <c r="N29" s="196">
        <f t="shared" si="8"/>
        <v>3.3145986453379447E-3</v>
      </c>
      <c r="O29" s="196">
        <f t="shared" si="8"/>
        <v>3.6748811067877215E-3</v>
      </c>
      <c r="P29" s="196">
        <f t="shared" si="8"/>
        <v>3.4370946822308693E-2</v>
      </c>
      <c r="Q29" s="196">
        <f t="shared" si="8"/>
        <v>0.12357688427727338</v>
      </c>
      <c r="R29" s="196">
        <f t="shared" si="8"/>
        <v>0.13236777633664792</v>
      </c>
      <c r="S29" s="196">
        <f t="shared" si="8"/>
        <v>0.12833261276841043</v>
      </c>
      <c r="T29" s="196">
        <f t="shared" si="8"/>
        <v>0.1224239804006341</v>
      </c>
      <c r="U29" s="196">
        <f t="shared" si="8"/>
        <v>0.11759619541720709</v>
      </c>
      <c r="V29" s="196">
        <f t="shared" si="8"/>
        <v>0.10736417351203344</v>
      </c>
      <c r="W29" s="196">
        <f t="shared" si="8"/>
        <v>0.10001441129845799</v>
      </c>
      <c r="X29" s="196">
        <f t="shared" si="8"/>
        <v>8.930201277801797E-2</v>
      </c>
      <c r="Y29" s="196">
        <f t="shared" si="8"/>
        <v>1.1024643320363165E-2</v>
      </c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</row>
    <row r="30" spans="1:62" ht="15.6" x14ac:dyDescent="0.3">
      <c r="A30" s="31"/>
      <c r="B30" s="31"/>
      <c r="C30" s="52"/>
      <c r="D30" s="55"/>
      <c r="E30" s="45" t="s">
        <v>239</v>
      </c>
      <c r="F30" s="196">
        <f>F29</f>
        <v>9.4153816592208294E-3</v>
      </c>
      <c r="G30" s="196">
        <f>F30+G29</f>
        <v>1.1288850458759669E-2</v>
      </c>
      <c r="H30" s="196">
        <f t="shared" ref="H30:AB30" si="9">G30+H29</f>
        <v>1.3162319258298506E-2</v>
      </c>
      <c r="I30" s="196">
        <f t="shared" si="9"/>
        <v>1.5035788057837344E-2</v>
      </c>
      <c r="J30" s="196">
        <f t="shared" si="9"/>
        <v>1.6909256857376181E-2</v>
      </c>
      <c r="K30" s="196">
        <f t="shared" si="9"/>
        <v>2.1448815871643368E-2</v>
      </c>
      <c r="L30" s="196">
        <f t="shared" si="9"/>
        <v>2.3322284671182206E-2</v>
      </c>
      <c r="M30" s="196">
        <f t="shared" si="9"/>
        <v>2.663688331652015E-2</v>
      </c>
      <c r="N30" s="196">
        <f t="shared" si="9"/>
        <v>2.9951481961858095E-2</v>
      </c>
      <c r="O30" s="196">
        <f t="shared" si="9"/>
        <v>3.3626363068645818E-2</v>
      </c>
      <c r="P30" s="196">
        <f t="shared" si="9"/>
        <v>6.799730989095451E-2</v>
      </c>
      <c r="Q30" s="196">
        <f t="shared" si="9"/>
        <v>0.19157419416822791</v>
      </c>
      <c r="R30" s="196">
        <f t="shared" si="9"/>
        <v>0.32394197050487583</v>
      </c>
      <c r="S30" s="196">
        <f t="shared" si="9"/>
        <v>0.45227458327328629</v>
      </c>
      <c r="T30" s="196">
        <f t="shared" si="9"/>
        <v>0.57469856367392036</v>
      </c>
      <c r="U30" s="196">
        <f t="shared" si="9"/>
        <v>0.69229475909112748</v>
      </c>
      <c r="V30" s="196">
        <f t="shared" si="9"/>
        <v>0.7996589326031609</v>
      </c>
      <c r="W30" s="196">
        <f t="shared" si="9"/>
        <v>0.8996733439016189</v>
      </c>
      <c r="X30" s="196">
        <f t="shared" si="9"/>
        <v>0.98897535667963687</v>
      </c>
      <c r="Y30" s="196">
        <f t="shared" si="9"/>
        <v>1</v>
      </c>
      <c r="Z30" s="196">
        <f t="shared" si="9"/>
        <v>1</v>
      </c>
      <c r="AA30" s="196">
        <f t="shared" si="9"/>
        <v>1</v>
      </c>
      <c r="AB30" s="196">
        <f t="shared" si="9"/>
        <v>1</v>
      </c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</row>
    <row r="31" spans="1:62" ht="15.6" x14ac:dyDescent="0.3">
      <c r="A31" s="31"/>
      <c r="B31" s="31"/>
      <c r="C31" s="31"/>
      <c r="D31" s="31"/>
      <c r="E31" s="45" t="s">
        <v>240</v>
      </c>
      <c r="F31" s="44"/>
      <c r="G31" s="44"/>
      <c r="H31" s="44"/>
      <c r="I31" s="44"/>
      <c r="J31" s="196">
        <v>0</v>
      </c>
      <c r="K31" s="196">
        <v>1.0259674905160067E-2</v>
      </c>
      <c r="L31" s="196">
        <v>2.562473073300146E-2</v>
      </c>
      <c r="M31" s="196">
        <v>5.7976981003885885E-3</v>
      </c>
      <c r="N31" s="196">
        <v>7.4962365514657986E-2</v>
      </c>
      <c r="O31" s="196">
        <v>2.0375164438264686E-2</v>
      </c>
      <c r="P31" s="196">
        <v>8.4414909194579276E-3</v>
      </c>
      <c r="Q31" s="196">
        <v>1.9140748439285635E-2</v>
      </c>
      <c r="R31" s="196">
        <v>0.118413083425311</v>
      </c>
      <c r="S31" s="196">
        <v>0.18589079162246633</v>
      </c>
      <c r="T31" s="196">
        <v>2.9458391793846218E-2</v>
      </c>
      <c r="U31" s="196">
        <v>6.6050358352244709E-2</v>
      </c>
      <c r="V31" s="196">
        <v>0.26952355833710645</v>
      </c>
      <c r="W31" s="196">
        <v>2.468663616337247E-2</v>
      </c>
      <c r="X31" s="196">
        <v>3.937729875446952E-2</v>
      </c>
      <c r="Y31" s="196">
        <v>3.937729875446952E-2</v>
      </c>
      <c r="Z31" s="196">
        <v>3.1187771191253599E-2</v>
      </c>
      <c r="AA31" s="196">
        <v>3.6581608764518427E-3</v>
      </c>
      <c r="AB31" s="196">
        <v>1.0401980561223394E-2</v>
      </c>
      <c r="AC31" s="196">
        <v>9.824977823543515E-3</v>
      </c>
      <c r="AD31" s="196">
        <v>7.5475898261756552E-3</v>
      </c>
      <c r="AE31" s="196">
        <v>2.2946784942301205E-7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</row>
    <row r="32" spans="1:62" ht="15.6" x14ac:dyDescent="0.3">
      <c r="A32" s="31"/>
      <c r="B32" s="31"/>
      <c r="C32" s="31"/>
      <c r="D32" s="31"/>
      <c r="E32" s="45" t="s">
        <v>241</v>
      </c>
      <c r="F32" s="196">
        <f>F31</f>
        <v>0</v>
      </c>
      <c r="G32" s="196">
        <f>F32+G31</f>
        <v>0</v>
      </c>
      <c r="H32" s="196">
        <f t="shared" ref="H32" si="10">G32+H31</f>
        <v>0</v>
      </c>
      <c r="I32" s="196">
        <f t="shared" ref="I32" si="11">H32+I31</f>
        <v>0</v>
      </c>
      <c r="J32" s="196">
        <f t="shared" ref="J32" si="12">I32+J31</f>
        <v>0</v>
      </c>
      <c r="K32" s="196">
        <f t="shared" ref="K32" si="13">J32+K31</f>
        <v>1.0259674905160067E-2</v>
      </c>
      <c r="L32" s="196">
        <f t="shared" ref="L32" si="14">K32+L31</f>
        <v>3.5884405638161525E-2</v>
      </c>
      <c r="M32" s="196">
        <f t="shared" ref="M32" si="15">L32+M31</f>
        <v>4.1682103738550115E-2</v>
      </c>
      <c r="N32" s="196">
        <f t="shared" ref="N32" si="16">M32+N31</f>
        <v>0.11664446925320809</v>
      </c>
      <c r="O32" s="196">
        <f t="shared" ref="O32" si="17">N32+O31</f>
        <v>0.13701963369147277</v>
      </c>
      <c r="P32" s="196">
        <f t="shared" ref="P32" si="18">O32+P31</f>
        <v>0.14546112461093069</v>
      </c>
      <c r="Q32" s="196">
        <f t="shared" ref="Q32" si="19">P32+Q31</f>
        <v>0.16460187305021634</v>
      </c>
      <c r="R32" s="196">
        <f t="shared" ref="R32" si="20">Q32+R31</f>
        <v>0.28301495647552732</v>
      </c>
      <c r="S32" s="196">
        <f t="shared" ref="S32" si="21">R32+S31</f>
        <v>0.46890574809799368</v>
      </c>
      <c r="T32" s="196">
        <f t="shared" ref="T32" si="22">S32+T31</f>
        <v>0.49836413989183992</v>
      </c>
      <c r="U32" s="196">
        <f t="shared" ref="U32" si="23">T32+U31</f>
        <v>0.56441449824408463</v>
      </c>
      <c r="V32" s="196">
        <f t="shared" ref="V32" si="24">U32+V31</f>
        <v>0.83393805658119113</v>
      </c>
      <c r="W32" s="196">
        <f t="shared" ref="W32" si="25">V32+W31</f>
        <v>0.85862469274456366</v>
      </c>
      <c r="X32" s="196">
        <f t="shared" ref="X32" si="26">W32+X31</f>
        <v>0.89800199149903315</v>
      </c>
      <c r="Y32" s="196">
        <f t="shared" ref="Y32" si="27">X32+Y31</f>
        <v>0.93737929025350264</v>
      </c>
      <c r="Z32" s="196">
        <f t="shared" ref="Z32" si="28">Y32+Z31</f>
        <v>0.96856706144475624</v>
      </c>
      <c r="AA32" s="196">
        <f t="shared" ref="AA32" si="29">Z32+AA31</f>
        <v>0.97222522232120812</v>
      </c>
      <c r="AB32" s="196">
        <f t="shared" ref="AB32" si="30">AA32+AB31</f>
        <v>0.98262720288243155</v>
      </c>
      <c r="AC32" s="197"/>
      <c r="AD32" s="197"/>
      <c r="AE32" s="197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</row>
    <row r="33" spans="1:59" ht="15.6" x14ac:dyDescent="0.3">
      <c r="A33" s="31"/>
      <c r="B33" s="31"/>
      <c r="C33" s="31"/>
      <c r="D33" s="31"/>
      <c r="E33" s="45" t="s">
        <v>242</v>
      </c>
      <c r="F33" s="196">
        <f>F32-F30</f>
        <v>-9.4153816592208294E-3</v>
      </c>
      <c r="G33" s="196">
        <f t="shared" ref="G33:AB33" si="31">G32-G30</f>
        <v>-1.1288850458759669E-2</v>
      </c>
      <c r="H33" s="196">
        <f t="shared" si="31"/>
        <v>-1.3162319258298506E-2</v>
      </c>
      <c r="I33" s="196">
        <f t="shared" si="31"/>
        <v>-1.5035788057837344E-2</v>
      </c>
      <c r="J33" s="196">
        <f t="shared" si="31"/>
        <v>-1.6909256857376181E-2</v>
      </c>
      <c r="K33" s="196">
        <f t="shared" si="31"/>
        <v>-1.1189140966483302E-2</v>
      </c>
      <c r="L33" s="196">
        <f t="shared" si="31"/>
        <v>1.2562120966979319E-2</v>
      </c>
      <c r="M33" s="196">
        <f t="shared" si="31"/>
        <v>1.5045220422029965E-2</v>
      </c>
      <c r="N33" s="196">
        <f t="shared" si="31"/>
        <v>8.6692987291349999E-2</v>
      </c>
      <c r="O33" s="196">
        <f t="shared" si="31"/>
        <v>0.10339327062282695</v>
      </c>
      <c r="P33" s="196">
        <f t="shared" si="31"/>
        <v>7.7463814719976182E-2</v>
      </c>
      <c r="Q33" s="196">
        <f t="shared" si="31"/>
        <v>-2.6972321118011566E-2</v>
      </c>
      <c r="R33" s="196">
        <f t="shared" si="31"/>
        <v>-4.0927014029348507E-2</v>
      </c>
      <c r="S33" s="196">
        <f t="shared" si="31"/>
        <v>1.663116482470739E-2</v>
      </c>
      <c r="T33" s="196">
        <f t="shared" si="31"/>
        <v>-7.6334423782080441E-2</v>
      </c>
      <c r="U33" s="196">
        <f t="shared" si="31"/>
        <v>-0.12788026084704285</v>
      </c>
      <c r="V33" s="196">
        <f t="shared" si="31"/>
        <v>3.4279123978030235E-2</v>
      </c>
      <c r="W33" s="196">
        <f t="shared" si="31"/>
        <v>-4.1048651157055249E-2</v>
      </c>
      <c r="X33" s="196">
        <f t="shared" si="31"/>
        <v>-9.0973365180603727E-2</v>
      </c>
      <c r="Y33" s="196">
        <f t="shared" si="31"/>
        <v>-6.2620709746497361E-2</v>
      </c>
      <c r="Z33" s="196">
        <f t="shared" si="31"/>
        <v>-3.1432938555243761E-2</v>
      </c>
      <c r="AA33" s="196">
        <f t="shared" si="31"/>
        <v>-2.7774777678791884E-2</v>
      </c>
      <c r="AB33" s="196">
        <f t="shared" si="31"/>
        <v>-1.737279711756845E-2</v>
      </c>
      <c r="AC33" s="197"/>
      <c r="AD33" s="197"/>
      <c r="AE33" s="197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</row>
    <row r="34" spans="1:59" ht="15.6" x14ac:dyDescent="0.3">
      <c r="A34" s="31"/>
      <c r="B34" s="31"/>
      <c r="C34" s="31"/>
      <c r="D34" s="31"/>
      <c r="E34" s="45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7"/>
      <c r="AD34" s="197"/>
      <c r="AE34" s="197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</row>
    <row r="35" spans="1:59" ht="15.6" x14ac:dyDescent="0.3">
      <c r="A35" s="31"/>
      <c r="B35" s="32" t="s">
        <v>45</v>
      </c>
      <c r="C35" s="52" t="s">
        <v>40</v>
      </c>
      <c r="D35" s="56">
        <f>D25/D$24</f>
        <v>1.1167883211678833</v>
      </c>
      <c r="E35" s="56">
        <f>E25/E$24</f>
        <v>1.1362185244221719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</row>
    <row r="36" spans="1:59" ht="15.6" x14ac:dyDescent="0.3">
      <c r="A36" s="31"/>
      <c r="B36" s="31"/>
      <c r="C36" s="52" t="s">
        <v>43</v>
      </c>
      <c r="D36" s="56">
        <f t="shared" ref="D36:E37" si="32">D27/D$24</f>
        <v>0.83211678832116798</v>
      </c>
      <c r="E36" s="56">
        <f t="shared" si="32"/>
        <v>0.80381780782262013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</row>
    <row r="37" spans="1:59" ht="15.6" x14ac:dyDescent="0.3">
      <c r="A37" s="31"/>
      <c r="B37" s="31"/>
      <c r="C37" s="52" t="s">
        <v>1</v>
      </c>
      <c r="D37" s="56">
        <f t="shared" si="32"/>
        <v>0.95814697702683405</v>
      </c>
      <c r="E37" s="56">
        <f t="shared" si="32"/>
        <v>0.95814697702683393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</row>
    <row r="38" spans="1:59" ht="15.6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</row>
    <row r="39" spans="1:59" ht="15.6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</row>
    <row r="40" spans="1:59" ht="15.6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</row>
    <row r="41" spans="1:59" ht="15.6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</row>
    <row r="42" spans="1:59" ht="15.6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</row>
    <row r="43" spans="1:59" ht="15.6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</row>
    <row r="44" spans="1:59" ht="15.6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</row>
    <row r="45" spans="1:59" ht="15.6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</row>
    <row r="46" spans="1:59" ht="15.6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</row>
    <row r="47" spans="1:59" ht="15.6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</row>
    <row r="48" spans="1:59" ht="15.6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A2" sqref="A2"/>
    </sheetView>
  </sheetViews>
  <sheetFormatPr defaultRowHeight="14.4" x14ac:dyDescent="0.3"/>
  <cols>
    <col min="1" max="1" width="12.44140625" customWidth="1"/>
    <col min="2" max="2" width="23.33203125" customWidth="1"/>
    <col min="3" max="3" width="16.88671875" customWidth="1"/>
    <col min="4" max="4" width="14.6640625" bestFit="1" customWidth="1"/>
    <col min="5" max="5" width="16.109375" customWidth="1"/>
    <col min="6" max="6" width="16.88671875" customWidth="1"/>
    <col min="8" max="8" width="11.33203125" customWidth="1"/>
    <col min="11" max="11" width="17" bestFit="1" customWidth="1"/>
  </cols>
  <sheetData>
    <row r="1" spans="1:13" ht="18" x14ac:dyDescent="0.35">
      <c r="A1" s="59" t="s">
        <v>55</v>
      </c>
      <c r="B1" s="94" t="s">
        <v>237</v>
      </c>
    </row>
    <row r="2" spans="1:13" ht="40.799999999999997" customHeight="1" thickBot="1" x14ac:dyDescent="0.35">
      <c r="A2" s="233" t="s">
        <v>252</v>
      </c>
    </row>
    <row r="3" spans="1:13" ht="18" x14ac:dyDescent="0.35">
      <c r="A3" s="60" t="s">
        <v>56</v>
      </c>
      <c r="B3" s="61"/>
      <c r="C3" s="61"/>
      <c r="D3" s="62"/>
    </row>
    <row r="4" spans="1:13" x14ac:dyDescent="0.3">
      <c r="A4" s="63"/>
      <c r="B4" s="64" t="s">
        <v>57</v>
      </c>
      <c r="C4" s="10"/>
      <c r="D4" s="65"/>
    </row>
    <row r="5" spans="1:13" x14ac:dyDescent="0.3">
      <c r="A5" s="63"/>
      <c r="B5" s="64" t="s">
        <v>58</v>
      </c>
      <c r="C5" s="10"/>
      <c r="D5" s="65"/>
    </row>
    <row r="6" spans="1:13" x14ac:dyDescent="0.3">
      <c r="A6" s="63"/>
      <c r="B6" s="64" t="s">
        <v>59</v>
      </c>
      <c r="C6" s="10"/>
      <c r="D6" s="65"/>
    </row>
    <row r="7" spans="1:13" x14ac:dyDescent="0.3">
      <c r="A7" s="63"/>
      <c r="B7" s="64" t="s">
        <v>60</v>
      </c>
      <c r="C7" s="10"/>
      <c r="D7" s="65"/>
    </row>
    <row r="8" spans="1:13" x14ac:dyDescent="0.3">
      <c r="A8" s="63"/>
      <c r="B8" s="64" t="s">
        <v>61</v>
      </c>
      <c r="C8" s="10"/>
      <c r="D8" s="65"/>
    </row>
    <row r="9" spans="1:13" ht="15" thickBot="1" x14ac:dyDescent="0.35">
      <c r="A9" s="66"/>
      <c r="B9" s="67"/>
      <c r="C9" s="67"/>
      <c r="D9" s="68"/>
    </row>
    <row r="10" spans="1:13" x14ac:dyDescent="0.3">
      <c r="A10" s="59"/>
    </row>
    <row r="11" spans="1:13" ht="30" customHeight="1" x14ac:dyDescent="0.55000000000000004">
      <c r="B11" s="227" t="s">
        <v>91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</row>
    <row r="12" spans="1:13" ht="15.75" customHeight="1" thickBot="1" x14ac:dyDescent="0.45">
      <c r="B12" s="69"/>
    </row>
    <row r="13" spans="1:13" ht="30" customHeight="1" thickBot="1" x14ac:dyDescent="0.35">
      <c r="B13" s="70" t="s">
        <v>62</v>
      </c>
      <c r="C13" s="71" t="s">
        <v>63</v>
      </c>
      <c r="D13" s="71" t="s">
        <v>64</v>
      </c>
      <c r="E13" s="72" t="s">
        <v>65</v>
      </c>
      <c r="F13" s="71" t="s">
        <v>66</v>
      </c>
      <c r="G13" s="71" t="s">
        <v>67</v>
      </c>
      <c r="H13" s="71" t="s">
        <v>68</v>
      </c>
      <c r="I13" s="71" t="s">
        <v>69</v>
      </c>
      <c r="J13" s="71" t="s">
        <v>70</v>
      </c>
      <c r="K13" s="71" t="s">
        <v>71</v>
      </c>
      <c r="L13" s="72" t="s">
        <v>72</v>
      </c>
      <c r="M13" s="73" t="s">
        <v>73</v>
      </c>
    </row>
    <row r="14" spans="1:13" ht="30" customHeight="1" x14ac:dyDescent="0.3">
      <c r="B14" s="74">
        <v>75</v>
      </c>
      <c r="C14" s="75" t="s">
        <v>74</v>
      </c>
      <c r="D14" s="75" t="s">
        <v>75</v>
      </c>
      <c r="E14" s="75" t="s">
        <v>76</v>
      </c>
      <c r="F14" s="76">
        <v>1.3</v>
      </c>
      <c r="G14" s="77">
        <v>42705</v>
      </c>
      <c r="H14" s="78">
        <f>0.472220142/(1.003^(2030-2017))</f>
        <v>0.45418457244481669</v>
      </c>
      <c r="I14" s="79">
        <v>0.23130000000000001</v>
      </c>
      <c r="J14" s="79">
        <v>3.0000000000000001E-3</v>
      </c>
      <c r="K14" s="80">
        <v>136683000</v>
      </c>
      <c r="L14" s="81">
        <f t="shared" ref="L14" si="0">K14/B14/1000</f>
        <v>1822.44</v>
      </c>
      <c r="M14" s="82">
        <v>5.5</v>
      </c>
    </row>
    <row r="15" spans="1:13" ht="30" customHeight="1" x14ac:dyDescent="0.3">
      <c r="J15" s="83" t="s">
        <v>77</v>
      </c>
      <c r="K15" s="80">
        <v>134011000</v>
      </c>
    </row>
    <row r="16" spans="1:13" ht="30" customHeight="1" x14ac:dyDescent="0.3">
      <c r="C16" s="84" t="s">
        <v>78</v>
      </c>
      <c r="F16" s="84"/>
    </row>
    <row r="17" spans="1:7" ht="30" customHeight="1" x14ac:dyDescent="0.3">
      <c r="B17" s="85" t="s">
        <v>79</v>
      </c>
      <c r="C17" s="86">
        <v>20.6</v>
      </c>
      <c r="E17" s="87"/>
      <c r="F17" s="10"/>
    </row>
    <row r="18" spans="1:7" ht="30" customHeight="1" x14ac:dyDescent="0.3"/>
    <row r="19" spans="1:7" ht="30" customHeight="1" x14ac:dyDescent="0.3">
      <c r="B19" s="85" t="s">
        <v>80</v>
      </c>
      <c r="C19" s="86">
        <v>18.2</v>
      </c>
      <c r="E19" s="85" t="s">
        <v>81</v>
      </c>
      <c r="F19" s="86">
        <v>12.8</v>
      </c>
    </row>
    <row r="20" spans="1:7" ht="30" customHeight="1" x14ac:dyDescent="0.3">
      <c r="E20" s="87"/>
    </row>
    <row r="21" spans="1:7" ht="42" customHeight="1" x14ac:dyDescent="0.3">
      <c r="B21" s="88" t="s">
        <v>82</v>
      </c>
      <c r="C21" s="86">
        <v>15.6</v>
      </c>
      <c r="E21" s="85" t="s">
        <v>83</v>
      </c>
      <c r="F21" s="86">
        <v>11.7</v>
      </c>
      <c r="G21" t="s">
        <v>84</v>
      </c>
    </row>
    <row r="22" spans="1:7" ht="30" customHeight="1" x14ac:dyDescent="0.3">
      <c r="E22" s="87"/>
    </row>
    <row r="23" spans="1:7" ht="42.75" customHeight="1" x14ac:dyDescent="0.3">
      <c r="E23" s="85" t="s">
        <v>85</v>
      </c>
      <c r="F23" s="86">
        <v>14.5</v>
      </c>
      <c r="G23" t="s">
        <v>86</v>
      </c>
    </row>
    <row r="24" spans="1:7" ht="10.5" customHeight="1" x14ac:dyDescent="0.3">
      <c r="E24" s="87"/>
    </row>
    <row r="25" spans="1:7" ht="30" customHeight="1" x14ac:dyDescent="0.3"/>
    <row r="26" spans="1:7" ht="14.25" customHeight="1" x14ac:dyDescent="0.3"/>
    <row r="27" spans="1:7" ht="14.25" customHeight="1" x14ac:dyDescent="0.3">
      <c r="A27" s="2" t="s">
        <v>87</v>
      </c>
    </row>
    <row r="28" spans="1:7" ht="14.25" customHeight="1" x14ac:dyDescent="0.3">
      <c r="A28" t="s">
        <v>92</v>
      </c>
      <c r="D28" s="89">
        <f>'[2]CPVRR Drivers'!$F$6</f>
        <v>1.0818184308719427</v>
      </c>
      <c r="E28" s="89"/>
      <c r="F28" t="s">
        <v>88</v>
      </c>
      <c r="G28" s="90">
        <f>34/B14</f>
        <v>0.45333333333333331</v>
      </c>
    </row>
    <row r="29" spans="1:7" ht="14.25" customHeight="1" x14ac:dyDescent="0.3">
      <c r="A29" t="s">
        <v>93</v>
      </c>
      <c r="D29" s="89">
        <f>(C21-F21)</f>
        <v>3.9000000000000004</v>
      </c>
      <c r="F29" t="s">
        <v>89</v>
      </c>
      <c r="G29" s="90">
        <f>36/B14</f>
        <v>0.48</v>
      </c>
    </row>
    <row r="30" spans="1:7" ht="14.25" customHeight="1" x14ac:dyDescent="0.3">
      <c r="A30" t="s">
        <v>94</v>
      </c>
      <c r="D30" s="89">
        <f>(C21-F23)/(G30*100)</f>
        <v>0.41249999999999981</v>
      </c>
      <c r="F30" t="s">
        <v>90</v>
      </c>
      <c r="G30" s="91">
        <f>G29-G28</f>
        <v>2.6666666666666672E-2</v>
      </c>
    </row>
    <row r="31" spans="1:7" ht="14.25" customHeight="1" x14ac:dyDescent="0.3"/>
  </sheetData>
  <mergeCells count="1">
    <mergeCell ref="B11:M11"/>
  </mergeCells>
  <pageMargins left="0.2" right="0.2" top="0.25" bottom="0.5" header="0.3" footer="0.3"/>
  <pageSetup scale="78" orientation="landscape" r:id="rId1"/>
  <headerFooter>
    <oddFooter>&amp;L&amp;f - 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/>
  </sheetViews>
  <sheetFormatPr defaultRowHeight="14.4" x14ac:dyDescent="0.3"/>
  <cols>
    <col min="1" max="1" width="11.33203125" customWidth="1"/>
    <col min="2" max="2" width="13.5546875" bestFit="1" customWidth="1"/>
    <col min="3" max="3" width="10" customWidth="1"/>
    <col min="4" max="4" width="18.5546875" bestFit="1" customWidth="1"/>
    <col min="5" max="5" width="18.33203125" customWidth="1"/>
    <col min="6" max="6" width="10.109375" customWidth="1"/>
    <col min="10" max="10" width="12" bestFit="1" customWidth="1"/>
  </cols>
  <sheetData>
    <row r="1" spans="1:15" ht="43.2" x14ac:dyDescent="0.35">
      <c r="A1" s="233" t="s">
        <v>253</v>
      </c>
      <c r="B1" s="94" t="s">
        <v>108</v>
      </c>
    </row>
    <row r="2" spans="1:15" s="95" customFormat="1" ht="23.25" customHeight="1" x14ac:dyDescent="0.35">
      <c r="B2" s="96" t="s">
        <v>109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s="95" customFormat="1" ht="23.25" customHeight="1" x14ac:dyDescent="0.35">
      <c r="B3" s="96" t="s">
        <v>110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5" s="95" customFormat="1" ht="23.25" customHeight="1" x14ac:dyDescent="0.35">
      <c r="B4" s="96" t="s">
        <v>111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x14ac:dyDescent="0.3">
      <c r="B5" s="97" t="s">
        <v>112</v>
      </c>
      <c r="D5" s="97" t="s">
        <v>113</v>
      </c>
    </row>
    <row r="6" spans="1:15" x14ac:dyDescent="0.3">
      <c r="B6" s="97" t="s">
        <v>114</v>
      </c>
      <c r="D6" s="97"/>
      <c r="F6" s="97" t="s">
        <v>115</v>
      </c>
      <c r="L6" s="97"/>
    </row>
    <row r="7" spans="1:15" x14ac:dyDescent="0.3">
      <c r="B7" s="97" t="s">
        <v>116</v>
      </c>
      <c r="D7" s="97" t="s">
        <v>117</v>
      </c>
      <c r="E7" s="98"/>
      <c r="F7" s="97" t="s">
        <v>118</v>
      </c>
      <c r="L7" s="97" t="s">
        <v>119</v>
      </c>
    </row>
    <row r="8" spans="1:15" x14ac:dyDescent="0.3">
      <c r="B8" s="97" t="s">
        <v>120</v>
      </c>
      <c r="D8" s="97" t="s">
        <v>116</v>
      </c>
      <c r="E8" s="97"/>
      <c r="F8" s="97" t="s">
        <v>116</v>
      </c>
      <c r="L8" s="97" t="s">
        <v>121</v>
      </c>
    </row>
    <row r="9" spans="1:15" x14ac:dyDescent="0.3">
      <c r="B9" s="97" t="s">
        <v>122</v>
      </c>
      <c r="D9" s="97" t="s">
        <v>120</v>
      </c>
      <c r="E9" s="97"/>
      <c r="F9" s="97" t="s">
        <v>120</v>
      </c>
      <c r="L9" s="97" t="s">
        <v>123</v>
      </c>
    </row>
    <row r="10" spans="1:15" x14ac:dyDescent="0.3">
      <c r="B10" s="97" t="s">
        <v>124</v>
      </c>
      <c r="D10" s="97" t="s">
        <v>125</v>
      </c>
      <c r="E10" s="202"/>
      <c r="F10" s="202" t="s">
        <v>125</v>
      </c>
      <c r="G10" s="168"/>
      <c r="H10" s="168"/>
      <c r="I10" s="168"/>
      <c r="J10" s="168"/>
      <c r="K10" s="168"/>
      <c r="L10" s="202" t="s">
        <v>125</v>
      </c>
      <c r="M10" s="168"/>
      <c r="N10" s="168"/>
      <c r="O10" s="168"/>
    </row>
    <row r="11" spans="1:15" x14ac:dyDescent="0.3">
      <c r="B11" s="97" t="s">
        <v>126</v>
      </c>
      <c r="D11" s="97" t="s">
        <v>126</v>
      </c>
      <c r="E11" s="202"/>
      <c r="F11" s="202" t="s">
        <v>126</v>
      </c>
      <c r="G11" s="168"/>
      <c r="H11" s="168"/>
      <c r="I11" s="168"/>
      <c r="J11" s="168"/>
      <c r="K11" s="168"/>
      <c r="L11" s="202" t="s">
        <v>126</v>
      </c>
      <c r="M11" s="168"/>
      <c r="N11" s="168"/>
      <c r="O11" s="168"/>
    </row>
    <row r="12" spans="1:15" x14ac:dyDescent="0.3">
      <c r="A12">
        <v>2015</v>
      </c>
      <c r="B12">
        <v>0</v>
      </c>
      <c r="D12">
        <v>0</v>
      </c>
      <c r="E12" s="168"/>
      <c r="F12" s="168">
        <v>0</v>
      </c>
      <c r="G12" s="168"/>
      <c r="H12" s="168"/>
      <c r="I12" s="168"/>
      <c r="J12" s="168"/>
      <c r="K12" s="168"/>
      <c r="L12" s="168">
        <v>0</v>
      </c>
      <c r="M12" s="168"/>
      <c r="N12" s="168"/>
      <c r="O12" s="168"/>
    </row>
    <row r="13" spans="1:15" x14ac:dyDescent="0.3">
      <c r="A13">
        <v>2016</v>
      </c>
      <c r="B13">
        <v>0</v>
      </c>
      <c r="D13">
        <v>0</v>
      </c>
      <c r="E13" s="168"/>
      <c r="F13" s="168">
        <v>0</v>
      </c>
      <c r="G13" s="168"/>
      <c r="H13" s="203" t="s">
        <v>127</v>
      </c>
      <c r="I13" s="168"/>
      <c r="J13" s="203" t="s">
        <v>128</v>
      </c>
      <c r="K13" s="168"/>
      <c r="L13" s="168">
        <v>0</v>
      </c>
      <c r="M13" s="168"/>
      <c r="N13" s="168"/>
      <c r="O13" s="168"/>
    </row>
    <row r="14" spans="1:15" x14ac:dyDescent="0.3">
      <c r="A14">
        <v>2017</v>
      </c>
      <c r="B14" s="99">
        <v>0.4012987871929134</v>
      </c>
      <c r="D14" s="99">
        <v>0.4012987871929134</v>
      </c>
      <c r="E14" s="100"/>
      <c r="F14" s="99">
        <v>0.50643550873590959</v>
      </c>
      <c r="G14" s="168"/>
      <c r="H14" s="168" t="s">
        <v>129</v>
      </c>
      <c r="I14" s="168"/>
      <c r="J14" s="204">
        <f>F14*1000000/74500</f>
        <v>6.7977920635692559</v>
      </c>
      <c r="K14" s="168"/>
      <c r="L14" s="204">
        <f>5.8*1000*74.5/1000000</f>
        <v>0.43209999999999998</v>
      </c>
      <c r="M14" s="168"/>
      <c r="N14" s="168"/>
      <c r="O14" s="168"/>
    </row>
    <row r="15" spans="1:15" x14ac:dyDescent="0.3">
      <c r="A15">
        <v>2018</v>
      </c>
      <c r="B15" s="99">
        <v>0.4499952559429134</v>
      </c>
      <c r="D15" s="99">
        <v>0.46124513734148626</v>
      </c>
      <c r="E15" s="100"/>
      <c r="F15" s="99">
        <f>F14*1.025</f>
        <v>0.51909639645430727</v>
      </c>
      <c r="G15" s="168"/>
      <c r="H15" s="168"/>
      <c r="I15" s="168"/>
      <c r="J15" s="205" t="s">
        <v>130</v>
      </c>
      <c r="K15" s="168"/>
      <c r="L15" s="204">
        <f>L14*1.025</f>
        <v>0.44290249999999992</v>
      </c>
      <c r="M15" s="168"/>
      <c r="N15" s="168"/>
      <c r="O15" s="168"/>
    </row>
    <row r="16" spans="1:15" x14ac:dyDescent="0.3">
      <c r="A16">
        <v>2019</v>
      </c>
      <c r="B16" s="99">
        <v>0.4499952559429134</v>
      </c>
      <c r="D16" s="99">
        <v>0.47277626577502335</v>
      </c>
      <c r="E16" s="100"/>
      <c r="F16" s="99">
        <f>F15*1.025</f>
        <v>0.53207380636566493</v>
      </c>
      <c r="G16" s="168"/>
      <c r="H16" s="168"/>
      <c r="I16" s="168"/>
      <c r="J16" s="204"/>
      <c r="K16" s="168"/>
      <c r="L16" s="204">
        <f t="shared" ref="L16:L43" si="0">L15*1.025</f>
        <v>0.45397506249999986</v>
      </c>
      <c r="M16" s="168"/>
      <c r="N16" s="168"/>
      <c r="O16" s="168"/>
    </row>
    <row r="17" spans="1:15" x14ac:dyDescent="0.3">
      <c r="A17">
        <v>2020</v>
      </c>
      <c r="B17" s="99">
        <v>0.4499952559429134</v>
      </c>
      <c r="D17" s="99">
        <v>0.48459567241939888</v>
      </c>
      <c r="E17" s="100"/>
      <c r="F17" s="99">
        <f t="shared" ref="F17:F43" si="1">F16*1.025</f>
        <v>0.54537565152480649</v>
      </c>
      <c r="G17" s="168"/>
      <c r="H17" s="168"/>
      <c r="I17" s="168"/>
      <c r="J17" s="204"/>
      <c r="K17" s="168"/>
      <c r="L17" s="204">
        <f t="shared" si="0"/>
        <v>0.46532443906249982</v>
      </c>
      <c r="M17" s="168"/>
      <c r="N17" s="168"/>
      <c r="O17" s="168"/>
    </row>
    <row r="18" spans="1:15" x14ac:dyDescent="0.3">
      <c r="A18">
        <v>2021</v>
      </c>
      <c r="B18" s="99">
        <v>0.4499952559429134</v>
      </c>
      <c r="D18" s="99">
        <v>0.49671056422988386</v>
      </c>
      <c r="E18" s="100"/>
      <c r="F18" s="99">
        <f t="shared" si="1"/>
        <v>0.55901004281292666</v>
      </c>
      <c r="G18" s="168"/>
      <c r="H18" s="168"/>
      <c r="I18" s="168"/>
      <c r="J18" s="204"/>
      <c r="K18" s="168"/>
      <c r="L18" s="204">
        <f t="shared" si="0"/>
        <v>0.47695755003906226</v>
      </c>
      <c r="M18" s="168"/>
      <c r="N18" s="168"/>
      <c r="O18" s="168"/>
    </row>
    <row r="19" spans="1:15" x14ac:dyDescent="0.3">
      <c r="A19">
        <v>2022</v>
      </c>
      <c r="B19" s="99">
        <v>0.51895160306281363</v>
      </c>
      <c r="D19" s="99">
        <v>0.58714610579802273</v>
      </c>
      <c r="E19" s="100"/>
      <c r="F19" s="99">
        <f t="shared" si="1"/>
        <v>0.57298529388324981</v>
      </c>
      <c r="G19" s="168"/>
      <c r="H19" s="168"/>
      <c r="I19" s="168"/>
      <c r="J19" s="204"/>
      <c r="K19" s="168"/>
      <c r="L19" s="204">
        <f t="shared" si="0"/>
        <v>0.48888148879003879</v>
      </c>
      <c r="M19" s="168"/>
      <c r="N19" s="168"/>
      <c r="O19" s="168"/>
    </row>
    <row r="20" spans="1:15" x14ac:dyDescent="0.3">
      <c r="A20">
        <v>2023</v>
      </c>
      <c r="B20" s="99">
        <v>0.53685283903006298</v>
      </c>
      <c r="D20" s="99">
        <v>0.62258470397206822</v>
      </c>
      <c r="E20" s="100"/>
      <c r="F20" s="99">
        <f t="shared" si="1"/>
        <v>0.58730992623033096</v>
      </c>
      <c r="G20" s="168"/>
      <c r="H20" s="168"/>
      <c r="I20" s="168"/>
      <c r="J20" s="204"/>
      <c r="K20" s="168"/>
      <c r="L20" s="204">
        <f t="shared" si="0"/>
        <v>0.50110352600978969</v>
      </c>
      <c r="M20" s="168"/>
      <c r="N20" s="168"/>
      <c r="O20" s="168"/>
    </row>
    <row r="21" spans="1:15" x14ac:dyDescent="0.3">
      <c r="A21">
        <v>2024</v>
      </c>
      <c r="B21" s="99">
        <v>0.5605896898933227</v>
      </c>
      <c r="D21" s="99">
        <v>0.66636497802947381</v>
      </c>
      <c r="E21" s="100"/>
      <c r="F21" s="99">
        <f t="shared" si="1"/>
        <v>0.60199267438608917</v>
      </c>
      <c r="G21" s="168"/>
      <c r="H21" s="168"/>
      <c r="I21" s="168"/>
      <c r="J21" s="204"/>
      <c r="K21" s="168"/>
      <c r="L21" s="204">
        <f t="shared" si="0"/>
        <v>0.51363111416003437</v>
      </c>
      <c r="M21" s="168"/>
      <c r="N21" s="168"/>
      <c r="O21" s="168"/>
    </row>
    <row r="22" spans="1:15" x14ac:dyDescent="0.3">
      <c r="A22">
        <v>2025</v>
      </c>
      <c r="B22" s="99">
        <v>0.55741823153809944</v>
      </c>
      <c r="D22" s="99">
        <v>0.67915998843087455</v>
      </c>
      <c r="E22" s="100"/>
      <c r="F22" s="99">
        <f t="shared" si="1"/>
        <v>0.61704249124574129</v>
      </c>
      <c r="G22" s="168"/>
      <c r="H22" s="168"/>
      <c r="I22" s="168"/>
      <c r="J22" s="204"/>
      <c r="K22" s="168"/>
      <c r="L22" s="204">
        <f t="shared" si="0"/>
        <v>0.52647189201403521</v>
      </c>
      <c r="M22" s="168"/>
      <c r="N22" s="168"/>
      <c r="O22" s="168"/>
    </row>
    <row r="23" spans="1:15" x14ac:dyDescent="0.3">
      <c r="A23">
        <v>2026</v>
      </c>
      <c r="B23" s="99">
        <v>0.55672031971904334</v>
      </c>
      <c r="D23" s="99">
        <v>0.69526739191453835</v>
      </c>
      <c r="E23" s="100"/>
      <c r="F23" s="99">
        <f t="shared" si="1"/>
        <v>0.6324685535268848</v>
      </c>
      <c r="G23" s="168"/>
      <c r="H23" s="168"/>
      <c r="I23" s="168"/>
      <c r="J23" s="204"/>
      <c r="K23" s="168"/>
      <c r="L23" s="204">
        <f t="shared" si="0"/>
        <v>0.53963368931438604</v>
      </c>
      <c r="M23" s="168"/>
      <c r="N23" s="168"/>
      <c r="O23" s="168"/>
    </row>
    <row r="24" spans="1:15" x14ac:dyDescent="0.3">
      <c r="A24">
        <v>2027</v>
      </c>
      <c r="B24" s="99">
        <v>0.54970126311971801</v>
      </c>
      <c r="D24" s="99">
        <v>0.703664090844766</v>
      </c>
      <c r="E24" s="100"/>
      <c r="F24" s="99">
        <f t="shared" si="1"/>
        <v>0.64828026736505684</v>
      </c>
      <c r="G24" s="168"/>
      <c r="H24" s="168"/>
      <c r="I24" s="168"/>
      <c r="J24" s="204"/>
      <c r="K24" s="168"/>
      <c r="L24" s="204">
        <f t="shared" si="0"/>
        <v>0.55312453154724561</v>
      </c>
      <c r="M24" s="168"/>
      <c r="N24" s="168"/>
      <c r="O24" s="168"/>
    </row>
    <row r="25" spans="1:15" x14ac:dyDescent="0.3">
      <c r="A25">
        <v>2028</v>
      </c>
      <c r="B25" s="99">
        <v>0.5395072614180495</v>
      </c>
      <c r="D25" s="99">
        <v>0.70788027949352239</v>
      </c>
      <c r="E25" s="100"/>
      <c r="F25" s="99">
        <f t="shared" si="1"/>
        <v>0.66448727404918317</v>
      </c>
      <c r="G25" s="168"/>
      <c r="H25" s="168"/>
      <c r="I25" s="168"/>
      <c r="J25" s="204"/>
      <c r="K25" s="168"/>
      <c r="L25" s="204">
        <f t="shared" si="0"/>
        <v>0.56695264483592667</v>
      </c>
      <c r="M25" s="168"/>
      <c r="N25" s="168"/>
      <c r="O25" s="168"/>
    </row>
    <row r="26" spans="1:15" x14ac:dyDescent="0.3">
      <c r="A26">
        <v>2029</v>
      </c>
      <c r="B26" s="99">
        <v>0.52995509461396562</v>
      </c>
      <c r="D26" s="99">
        <v>0.71273068409871154</v>
      </c>
      <c r="E26" s="100"/>
      <c r="F26" s="99">
        <f t="shared" si="1"/>
        <v>0.68109945590041265</v>
      </c>
      <c r="G26" s="168"/>
      <c r="H26" s="168"/>
      <c r="I26" s="168"/>
      <c r="J26" s="204"/>
      <c r="K26" s="168"/>
      <c r="L26" s="204">
        <f t="shared" si="0"/>
        <v>0.58112646095682474</v>
      </c>
      <c r="M26" s="168"/>
      <c r="N26" s="168"/>
      <c r="O26" s="168"/>
    </row>
    <row r="27" spans="1:15" x14ac:dyDescent="0.3">
      <c r="A27">
        <v>2030</v>
      </c>
      <c r="B27" s="99">
        <v>0.52402546287903351</v>
      </c>
      <c r="D27" s="99">
        <v>0.72237488836266772</v>
      </c>
      <c r="E27" s="100"/>
      <c r="F27" s="99">
        <f t="shared" si="1"/>
        <v>0.69812694229792294</v>
      </c>
      <c r="G27" s="168"/>
      <c r="H27" s="168"/>
      <c r="I27" s="168"/>
      <c r="J27" s="204"/>
      <c r="K27" s="168"/>
      <c r="L27" s="204">
        <f t="shared" si="0"/>
        <v>0.5956546224807453</v>
      </c>
      <c r="M27" s="168"/>
      <c r="N27" s="168"/>
      <c r="O27" s="168"/>
    </row>
    <row r="28" spans="1:15" x14ac:dyDescent="0.3">
      <c r="A28">
        <v>2031</v>
      </c>
      <c r="B28" s="99">
        <v>0.52283263423768822</v>
      </c>
      <c r="D28" s="99">
        <v>0.73874882492860594</v>
      </c>
      <c r="E28" s="100"/>
      <c r="F28" s="99">
        <f t="shared" si="1"/>
        <v>0.71558011585537096</v>
      </c>
      <c r="G28" s="168"/>
      <c r="H28" s="168"/>
      <c r="I28" s="168"/>
      <c r="J28" s="204"/>
      <c r="K28" s="168"/>
      <c r="L28" s="204">
        <f t="shared" si="0"/>
        <v>0.61054598804276383</v>
      </c>
      <c r="M28" s="168"/>
      <c r="N28" s="168"/>
      <c r="O28" s="168"/>
    </row>
    <row r="29" spans="1:15" x14ac:dyDescent="0.3">
      <c r="A29">
        <v>2032</v>
      </c>
      <c r="B29" s="99">
        <v>0.53565470131403814</v>
      </c>
      <c r="D29" s="99">
        <v>0.7757877217892144</v>
      </c>
      <c r="E29" s="100"/>
      <c r="F29" s="99">
        <f t="shared" si="1"/>
        <v>0.7334696187517552</v>
      </c>
      <c r="G29" s="168"/>
      <c r="H29" s="168"/>
      <c r="I29" s="168"/>
      <c r="J29" s="204"/>
      <c r="K29" s="168"/>
      <c r="L29" s="204">
        <f t="shared" si="0"/>
        <v>0.62580963774383291</v>
      </c>
      <c r="M29" s="168"/>
      <c r="N29" s="168"/>
      <c r="O29" s="168"/>
    </row>
    <row r="30" spans="1:15" x14ac:dyDescent="0.3">
      <c r="A30">
        <v>2033</v>
      </c>
      <c r="B30" s="99">
        <v>0.53028865011655624</v>
      </c>
      <c r="D30" s="99">
        <v>0.78721648167053049</v>
      </c>
      <c r="E30" s="100"/>
      <c r="F30" s="99">
        <f t="shared" si="1"/>
        <v>0.75180635922054906</v>
      </c>
      <c r="G30" s="168"/>
      <c r="H30" s="168"/>
      <c r="I30" s="168"/>
      <c r="J30" s="204"/>
      <c r="K30" s="168"/>
      <c r="L30" s="204">
        <f t="shared" si="0"/>
        <v>0.64145487868742868</v>
      </c>
      <c r="M30" s="168"/>
      <c r="N30" s="168"/>
      <c r="O30" s="168"/>
    </row>
    <row r="31" spans="1:15" x14ac:dyDescent="0.3">
      <c r="A31">
        <v>2034</v>
      </c>
      <c r="B31" s="99">
        <v>0.5402024065655554</v>
      </c>
      <c r="D31" s="99">
        <v>0.82198184656195272</v>
      </c>
      <c r="E31" s="100"/>
      <c r="F31" s="99">
        <f t="shared" si="1"/>
        <v>0.77060151820106271</v>
      </c>
      <c r="G31" s="168"/>
      <c r="H31" s="168"/>
      <c r="I31" s="168"/>
      <c r="J31" s="204"/>
      <c r="K31" s="168"/>
      <c r="L31" s="204">
        <f t="shared" si="0"/>
        <v>0.65749125065461433</v>
      </c>
      <c r="M31" s="168"/>
      <c r="N31" s="168"/>
      <c r="O31" s="168"/>
    </row>
    <row r="32" spans="1:15" x14ac:dyDescent="0.3">
      <c r="A32">
        <v>2035</v>
      </c>
      <c r="B32" s="99">
        <v>0.53814615594320359</v>
      </c>
      <c r="D32" s="99">
        <v>0.8393243435170612</v>
      </c>
      <c r="E32" s="100"/>
      <c r="F32" s="99">
        <f t="shared" si="1"/>
        <v>0.78986655615608925</v>
      </c>
      <c r="G32" s="168"/>
      <c r="H32" s="168"/>
      <c r="I32" s="168"/>
      <c r="J32" s="204"/>
      <c r="K32" s="168"/>
      <c r="L32" s="204">
        <f t="shared" si="0"/>
        <v>0.67392853192097968</v>
      </c>
      <c r="M32" s="168"/>
      <c r="N32" s="168"/>
      <c r="O32" s="168"/>
    </row>
    <row r="33" spans="1:15" x14ac:dyDescent="0.3">
      <c r="A33">
        <v>2036</v>
      </c>
      <c r="B33" s="99">
        <v>0.5393516513059512</v>
      </c>
      <c r="D33" s="99">
        <v>0.86223461749044339</v>
      </c>
      <c r="E33" s="100"/>
      <c r="F33" s="99">
        <f t="shared" si="1"/>
        <v>0.80961322005999137</v>
      </c>
      <c r="G33" s="168"/>
      <c r="H33" s="168"/>
      <c r="I33" s="168"/>
      <c r="J33" s="204"/>
      <c r="K33" s="168"/>
      <c r="L33" s="204">
        <f t="shared" si="0"/>
        <v>0.69077674521900412</v>
      </c>
      <c r="M33" s="168"/>
      <c r="N33" s="168"/>
      <c r="O33" s="168"/>
    </row>
    <row r="34" spans="1:15" x14ac:dyDescent="0.3">
      <c r="A34">
        <v>2037</v>
      </c>
      <c r="B34" s="99">
        <v>0.53877682356029766</v>
      </c>
      <c r="D34" s="99">
        <v>0.88284856073334139</v>
      </c>
      <c r="E34" s="100"/>
      <c r="F34" s="99">
        <f t="shared" si="1"/>
        <v>0.82985355056149113</v>
      </c>
      <c r="G34" s="168"/>
      <c r="H34" s="168"/>
      <c r="I34" s="168"/>
      <c r="J34" s="204"/>
      <c r="K34" s="168"/>
      <c r="L34" s="204">
        <f t="shared" si="0"/>
        <v>0.70804616384947916</v>
      </c>
      <c r="M34" s="168"/>
      <c r="N34" s="168"/>
      <c r="O34" s="168"/>
    </row>
    <row r="35" spans="1:15" x14ac:dyDescent="0.3">
      <c r="A35">
        <v>2038</v>
      </c>
      <c r="B35" s="99">
        <v>0.53707194489536714</v>
      </c>
      <c r="D35" s="99">
        <v>0.90205629148739297</v>
      </c>
      <c r="E35" s="100"/>
      <c r="F35" s="99">
        <f t="shared" si="1"/>
        <v>0.85059988932552832</v>
      </c>
      <c r="G35" s="168"/>
      <c r="H35" s="168"/>
      <c r="I35" s="168"/>
      <c r="J35" s="204"/>
      <c r="K35" s="168"/>
      <c r="L35" s="204">
        <f t="shared" si="0"/>
        <v>0.72574731794571612</v>
      </c>
      <c r="M35" s="168"/>
      <c r="N35" s="168"/>
      <c r="O35" s="168"/>
    </row>
    <row r="36" spans="1:15" x14ac:dyDescent="0.3">
      <c r="A36">
        <v>2039</v>
      </c>
      <c r="B36" s="99">
        <v>0.53501721881047559</v>
      </c>
      <c r="D36" s="99">
        <v>0.92107034111696673</v>
      </c>
      <c r="E36" s="100"/>
      <c r="F36" s="99">
        <f t="shared" si="1"/>
        <v>0.87186488655866645</v>
      </c>
      <c r="G36" s="168"/>
      <c r="H36" s="168"/>
      <c r="I36" s="168"/>
      <c r="J36" s="204"/>
      <c r="K36" s="168"/>
      <c r="L36" s="204">
        <f t="shared" si="0"/>
        <v>0.743891000894359</v>
      </c>
      <c r="M36" s="168"/>
      <c r="N36" s="168"/>
      <c r="O36" s="168"/>
    </row>
    <row r="37" spans="1:15" x14ac:dyDescent="0.3">
      <c r="A37">
        <v>2040</v>
      </c>
      <c r="B37" s="99">
        <v>0.53327568324533492</v>
      </c>
      <c r="D37" s="99">
        <v>0.94102396738265592</v>
      </c>
      <c r="E37" s="100"/>
      <c r="F37" s="99">
        <f t="shared" si="1"/>
        <v>0.89366150872263306</v>
      </c>
      <c r="G37" s="168"/>
      <c r="H37" s="168"/>
      <c r="I37" s="168"/>
      <c r="J37" s="204"/>
      <c r="K37" s="168"/>
      <c r="L37" s="204">
        <f t="shared" si="0"/>
        <v>0.76248827591671786</v>
      </c>
      <c r="M37" s="168"/>
      <c r="N37" s="168"/>
      <c r="O37" s="168"/>
    </row>
    <row r="38" spans="1:15" x14ac:dyDescent="0.3">
      <c r="A38">
        <v>2041</v>
      </c>
      <c r="B38" s="99">
        <v>0.53223978680911466</v>
      </c>
      <c r="D38" s="99">
        <v>0.9626759138019505</v>
      </c>
      <c r="E38" s="100"/>
      <c r="F38" s="99">
        <f t="shared" si="1"/>
        <v>0.91600304644069885</v>
      </c>
      <c r="G38" s="168"/>
      <c r="H38" s="168"/>
      <c r="I38" s="168"/>
      <c r="J38" s="204"/>
      <c r="K38" s="168"/>
      <c r="L38" s="204">
        <f t="shared" si="0"/>
        <v>0.78155048281463579</v>
      </c>
      <c r="M38" s="168"/>
      <c r="N38" s="168"/>
      <c r="O38" s="168"/>
    </row>
    <row r="39" spans="1:15" x14ac:dyDescent="0.3">
      <c r="A39">
        <v>2042</v>
      </c>
      <c r="B39" s="99">
        <v>0.53198356675045355</v>
      </c>
      <c r="D39" s="99">
        <v>0.98626779398137276</v>
      </c>
      <c r="E39" s="100"/>
      <c r="F39" s="99">
        <f t="shared" si="1"/>
        <v>0.93890312260171627</v>
      </c>
      <c r="G39" s="168"/>
      <c r="H39" s="168"/>
      <c r="I39" s="168"/>
      <c r="J39" s="204"/>
      <c r="K39" s="168"/>
      <c r="L39" s="204">
        <f t="shared" si="0"/>
        <v>0.80108924488500166</v>
      </c>
      <c r="M39" s="168"/>
      <c r="N39" s="168"/>
      <c r="O39" s="168"/>
    </row>
    <row r="40" spans="1:15" x14ac:dyDescent="0.3">
      <c r="A40">
        <v>2043</v>
      </c>
      <c r="B40" s="99">
        <v>0.5122476193448835</v>
      </c>
      <c r="D40" s="99">
        <v>0.97342041203312013</v>
      </c>
      <c r="E40" s="100"/>
      <c r="F40" s="99">
        <f t="shared" si="1"/>
        <v>0.96237570066675904</v>
      </c>
      <c r="G40" s="168"/>
      <c r="H40" s="168"/>
      <c r="I40" s="168"/>
      <c r="J40" s="204"/>
      <c r="K40" s="168"/>
      <c r="L40" s="204">
        <f t="shared" si="0"/>
        <v>0.82111647600712667</v>
      </c>
      <c r="M40" s="168"/>
      <c r="N40" s="168"/>
      <c r="O40" s="168"/>
    </row>
    <row r="41" spans="1:15" x14ac:dyDescent="0.3">
      <c r="A41">
        <v>2044</v>
      </c>
      <c r="B41" s="99">
        <v>0.49434990289288466</v>
      </c>
      <c r="D41" s="99">
        <v>0.9628947499012217</v>
      </c>
      <c r="E41" s="100"/>
      <c r="F41" s="99">
        <f t="shared" si="1"/>
        <v>0.98643509318342792</v>
      </c>
      <c r="G41" s="168"/>
      <c r="H41" s="168"/>
      <c r="I41" s="168"/>
      <c r="J41" s="204"/>
      <c r="K41" s="168"/>
      <c r="L41" s="204">
        <f t="shared" si="0"/>
        <v>0.84164438790730478</v>
      </c>
      <c r="M41" s="168"/>
      <c r="N41" s="168"/>
      <c r="O41" s="168"/>
    </row>
    <row r="42" spans="1:15" x14ac:dyDescent="0.3">
      <c r="A42">
        <v>2045</v>
      </c>
      <c r="B42" s="99">
        <v>0.46411557458133418</v>
      </c>
      <c r="D42" s="99">
        <v>0.92660443277927174</v>
      </c>
      <c r="E42" s="100"/>
      <c r="F42" s="99">
        <f t="shared" si="1"/>
        <v>1.0110959705130136</v>
      </c>
      <c r="G42" s="168"/>
      <c r="H42" s="168"/>
      <c r="I42" s="168"/>
      <c r="J42" s="204"/>
      <c r="K42" s="168"/>
      <c r="L42" s="204">
        <f t="shared" si="0"/>
        <v>0.86268549760498736</v>
      </c>
      <c r="M42" s="168"/>
      <c r="N42" s="168"/>
      <c r="O42" s="168"/>
    </row>
    <row r="43" spans="1:15" x14ac:dyDescent="0.3">
      <c r="A43">
        <v>2046</v>
      </c>
      <c r="B43" s="99">
        <v>0.42546520699493617</v>
      </c>
      <c r="D43" s="99">
        <v>0.8706751455803905</v>
      </c>
      <c r="E43" s="100"/>
      <c r="F43" s="99">
        <f t="shared" si="1"/>
        <v>1.0363733697758388</v>
      </c>
      <c r="G43" s="168"/>
      <c r="H43" s="168"/>
      <c r="I43" s="168"/>
      <c r="J43" s="204"/>
      <c r="K43" s="168"/>
      <c r="L43" s="204">
        <f t="shared" si="0"/>
        <v>0.88425263504511198</v>
      </c>
      <c r="M43" s="168"/>
      <c r="N43" s="168"/>
      <c r="O43" s="168"/>
    </row>
    <row r="44" spans="1:15" x14ac:dyDescent="0.3"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5" x14ac:dyDescent="0.3">
      <c r="A45" s="9" t="s">
        <v>131</v>
      </c>
      <c r="C45" s="9"/>
      <c r="D45" s="3">
        <f>NPV(0.0751,D13:D43)+D12</f>
        <v>7.1589441955239002</v>
      </c>
      <c r="E45" s="206"/>
      <c r="F45" s="206">
        <f>NPV(0.0751,F13:F43)+F12</f>
        <v>7.1559718563609973</v>
      </c>
      <c r="G45" s="168"/>
      <c r="H45" s="168"/>
      <c r="I45" s="168"/>
      <c r="J45" s="168"/>
      <c r="K45" s="168"/>
      <c r="L45" s="206">
        <f>NPV(0.0751,L13:L43)+L12</f>
        <v>6.1056055229058162</v>
      </c>
      <c r="M45" s="168"/>
      <c r="N45" s="168"/>
      <c r="O45" s="168"/>
    </row>
    <row r="46" spans="1:15" x14ac:dyDescent="0.3">
      <c r="E46" s="168"/>
      <c r="F46" s="168"/>
      <c r="G46" s="168"/>
      <c r="H46" s="168"/>
      <c r="I46" s="168"/>
      <c r="J46" s="168"/>
      <c r="K46" s="168"/>
      <c r="L46" s="206">
        <f>F45-L45</f>
        <v>1.0503663334551812</v>
      </c>
      <c r="M46" s="168"/>
      <c r="N46" s="168"/>
      <c r="O46" s="168"/>
    </row>
    <row r="47" spans="1:15" x14ac:dyDescent="0.3"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1:15" x14ac:dyDescent="0.3"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5:15" x14ac:dyDescent="0.3"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5:15" x14ac:dyDescent="0.3"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5:15" x14ac:dyDescent="0.3"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5:15" x14ac:dyDescent="0.3"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5:15" x14ac:dyDescent="0.3"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5:15" x14ac:dyDescent="0.3"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5:15" x14ac:dyDescent="0.3"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5:15" x14ac:dyDescent="0.3"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5:15" x14ac:dyDescent="0.3"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5:15" x14ac:dyDescent="0.3"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5:15" x14ac:dyDescent="0.3"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5:15" x14ac:dyDescent="0.3"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5:15" x14ac:dyDescent="0.3"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5:15" x14ac:dyDescent="0.3"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5:15" x14ac:dyDescent="0.3"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5:15" x14ac:dyDescent="0.3"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5:15" x14ac:dyDescent="0.3"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5:15" x14ac:dyDescent="0.3"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5:15" x14ac:dyDescent="0.3"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5:15" x14ac:dyDescent="0.3"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5:15" x14ac:dyDescent="0.3"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5:15" x14ac:dyDescent="0.3"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5:15" x14ac:dyDescent="0.3"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5:15" x14ac:dyDescent="0.3"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5:15" x14ac:dyDescent="0.3"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5:15" x14ac:dyDescent="0.3"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5:15" x14ac:dyDescent="0.3"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5:15" x14ac:dyDescent="0.3"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5:15" x14ac:dyDescent="0.3"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5:15" x14ac:dyDescent="0.3"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5:15" x14ac:dyDescent="0.3"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5:15" x14ac:dyDescent="0.3"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5:15" x14ac:dyDescent="0.3"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5:15" x14ac:dyDescent="0.3"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5:15" x14ac:dyDescent="0.3"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</row>
    <row r="84" spans="5:15" x14ac:dyDescent="0.3"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</row>
  </sheetData>
  <conditionalFormatting sqref="E14:E43">
    <cfRule type="cellIs" dxfId="0" priority="1" stopIfTrue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E1" sqref="E1"/>
    </sheetView>
  </sheetViews>
  <sheetFormatPr defaultRowHeight="14.4" x14ac:dyDescent="0.3"/>
  <cols>
    <col min="2" max="2" width="12.44140625" customWidth="1"/>
    <col min="3" max="4" width="11" customWidth="1"/>
    <col min="5" max="5" width="14.88671875" customWidth="1"/>
    <col min="9" max="10" width="16.6640625" bestFit="1" customWidth="1"/>
    <col min="11" max="11" width="9.5546875" bestFit="1" customWidth="1"/>
    <col min="12" max="12" width="14.88671875" bestFit="1" customWidth="1"/>
  </cols>
  <sheetData>
    <row r="1" spans="1:12" ht="28.8" x14ac:dyDescent="0.3">
      <c r="A1" s="59" t="s">
        <v>55</v>
      </c>
      <c r="E1" s="233" t="s">
        <v>254</v>
      </c>
    </row>
    <row r="2" spans="1:12" x14ac:dyDescent="0.3">
      <c r="A2" s="59" t="s">
        <v>136</v>
      </c>
    </row>
    <row r="3" spans="1:12" ht="18" x14ac:dyDescent="0.35">
      <c r="A3" s="94" t="s">
        <v>137</v>
      </c>
    </row>
    <row r="5" spans="1:12" x14ac:dyDescent="0.3">
      <c r="A5" t="s">
        <v>138</v>
      </c>
      <c r="D5" s="228" t="s">
        <v>246</v>
      </c>
      <c r="E5" s="229"/>
    </row>
    <row r="6" spans="1:12" ht="28.8" x14ac:dyDescent="0.3">
      <c r="B6" s="58" t="s">
        <v>230</v>
      </c>
      <c r="C6" s="123" t="s">
        <v>247</v>
      </c>
      <c r="D6" s="58" t="s">
        <v>160</v>
      </c>
      <c r="E6" s="233" t="s">
        <v>253</v>
      </c>
      <c r="I6" s="58" t="s">
        <v>139</v>
      </c>
      <c r="J6" s="58" t="s">
        <v>140</v>
      </c>
      <c r="K6" s="58" t="s">
        <v>160</v>
      </c>
      <c r="L6" s="58" t="s">
        <v>161</v>
      </c>
    </row>
    <row r="7" spans="1:12" x14ac:dyDescent="0.3">
      <c r="B7" s="58"/>
      <c r="C7" s="58"/>
      <c r="D7" s="124"/>
      <c r="E7" s="124"/>
      <c r="I7" s="58" t="s">
        <v>141</v>
      </c>
      <c r="J7" s="58" t="s">
        <v>141</v>
      </c>
      <c r="K7" s="124">
        <v>42195</v>
      </c>
      <c r="L7" s="124">
        <v>42195</v>
      </c>
    </row>
    <row r="8" spans="1:12" x14ac:dyDescent="0.3">
      <c r="A8" s="104" t="s">
        <v>142</v>
      </c>
      <c r="B8" s="104" t="s">
        <v>143</v>
      </c>
      <c r="C8" s="104" t="s">
        <v>143</v>
      </c>
      <c r="D8" s="104" t="s">
        <v>143</v>
      </c>
      <c r="E8" s="104" t="s">
        <v>143</v>
      </c>
      <c r="H8" s="105" t="s">
        <v>142</v>
      </c>
      <c r="I8" s="105" t="s">
        <v>143</v>
      </c>
      <c r="J8" s="105" t="s">
        <v>143</v>
      </c>
      <c r="K8" s="105" t="s">
        <v>143</v>
      </c>
      <c r="L8" s="105" t="s">
        <v>143</v>
      </c>
    </row>
    <row r="9" spans="1:12" x14ac:dyDescent="0.3">
      <c r="A9" s="106">
        <v>2015</v>
      </c>
      <c r="B9" s="107">
        <v>0</v>
      </c>
      <c r="C9" s="107">
        <v>0</v>
      </c>
      <c r="D9" s="107">
        <v>0</v>
      </c>
      <c r="E9" s="107">
        <v>0</v>
      </c>
      <c r="H9" s="58">
        <v>2015</v>
      </c>
      <c r="I9" s="108">
        <v>0</v>
      </c>
      <c r="J9" s="108">
        <v>0</v>
      </c>
      <c r="K9" s="108">
        <v>0</v>
      </c>
      <c r="L9" s="108">
        <v>0</v>
      </c>
    </row>
    <row r="10" spans="1:12" x14ac:dyDescent="0.3">
      <c r="A10" s="58">
        <v>2016</v>
      </c>
      <c r="B10" s="109">
        <v>0</v>
      </c>
      <c r="C10" s="108">
        <v>0</v>
      </c>
      <c r="D10" s="108">
        <v>0</v>
      </c>
      <c r="E10" s="108">
        <v>0</v>
      </c>
      <c r="H10" s="58">
        <v>2016</v>
      </c>
      <c r="I10" s="108">
        <v>0</v>
      </c>
      <c r="J10" s="108">
        <v>0</v>
      </c>
      <c r="K10" s="108">
        <v>0</v>
      </c>
      <c r="L10" s="108">
        <v>0</v>
      </c>
    </row>
    <row r="11" spans="1:12" x14ac:dyDescent="0.3">
      <c r="A11" s="58">
        <f>A10+1</f>
        <v>2017</v>
      </c>
      <c r="B11" s="109">
        <v>411331.25687273621</v>
      </c>
      <c r="C11" s="108">
        <v>411331.25687273621</v>
      </c>
      <c r="D11" s="108">
        <v>291511.22913187416</v>
      </c>
      <c r="E11" s="108">
        <v>281004.97913187416</v>
      </c>
      <c r="H11" s="58">
        <v>2017</v>
      </c>
      <c r="I11" s="108">
        <v>256352.49999999997</v>
      </c>
      <c r="J11" s="108">
        <v>256352.49999999997</v>
      </c>
      <c r="K11" s="108">
        <f ca="1">'7-10-15 O&amp;M'!C20</f>
        <v>245300</v>
      </c>
      <c r="L11" s="108">
        <f ca="1">'7-10-15 O&amp;M'!C53</f>
        <v>245300</v>
      </c>
    </row>
    <row r="12" spans="1:12" x14ac:dyDescent="0.3">
      <c r="A12" s="58">
        <f t="shared" ref="A12:A40" si="0">A11+1</f>
        <v>2018</v>
      </c>
      <c r="B12" s="109">
        <v>472776.26577502332</v>
      </c>
      <c r="C12" s="108">
        <v>472776.26577502332</v>
      </c>
      <c r="D12" s="108">
        <v>342466.92470392102</v>
      </c>
      <c r="E12" s="108">
        <v>331698.01845392102</v>
      </c>
      <c r="H12" s="58">
        <v>2018</v>
      </c>
      <c r="I12" s="108">
        <v>0</v>
      </c>
      <c r="J12" s="108">
        <v>0</v>
      </c>
      <c r="K12" s="108">
        <v>0</v>
      </c>
      <c r="L12" s="108">
        <v>0</v>
      </c>
    </row>
    <row r="13" spans="1:12" x14ac:dyDescent="0.3">
      <c r="A13" s="58">
        <f t="shared" si="0"/>
        <v>2019</v>
      </c>
      <c r="B13" s="109">
        <v>484595.67241939885</v>
      </c>
      <c r="C13" s="108">
        <v>484595.67241939885</v>
      </c>
      <c r="D13" s="108">
        <v>351028.59782151901</v>
      </c>
      <c r="E13" s="108">
        <v>339990.46891526901</v>
      </c>
      <c r="H13" s="58">
        <v>2019</v>
      </c>
      <c r="I13" s="108">
        <v>0</v>
      </c>
      <c r="J13" s="108">
        <v>0</v>
      </c>
      <c r="K13" s="108">
        <v>0</v>
      </c>
      <c r="L13" s="108">
        <v>0</v>
      </c>
    </row>
    <row r="14" spans="1:12" x14ac:dyDescent="0.3">
      <c r="A14" s="58">
        <f t="shared" si="0"/>
        <v>2020</v>
      </c>
      <c r="B14" s="109">
        <v>496710.56422988378</v>
      </c>
      <c r="C14" s="108">
        <v>441352.88883484603</v>
      </c>
      <c r="D14" s="108">
        <v>359804.31276705698</v>
      </c>
      <c r="E14" s="108">
        <v>348490.23063815071</v>
      </c>
      <c r="H14" s="58">
        <v>2020</v>
      </c>
      <c r="I14" s="108">
        <v>0</v>
      </c>
      <c r="J14" s="108">
        <v>261382.89249999993</v>
      </c>
      <c r="K14" s="108">
        <v>0</v>
      </c>
      <c r="L14" s="108">
        <v>0</v>
      </c>
    </row>
    <row r="15" spans="1:12" x14ac:dyDescent="0.3">
      <c r="A15" s="58">
        <f t="shared" si="0"/>
        <v>2021</v>
      </c>
      <c r="B15" s="109">
        <v>509128.32833563094</v>
      </c>
      <c r="C15" s="108">
        <v>395645.09377580351</v>
      </c>
      <c r="D15" s="108">
        <v>368799.42058623338</v>
      </c>
      <c r="E15" s="108">
        <v>357202.48640410445</v>
      </c>
      <c r="K15" s="108"/>
      <c r="L15" s="108"/>
    </row>
    <row r="16" spans="1:12" x14ac:dyDescent="0.3">
      <c r="A16" s="58">
        <f t="shared" si="0"/>
        <v>2022</v>
      </c>
      <c r="B16" s="109">
        <v>601824.75844297325</v>
      </c>
      <c r="C16" s="108">
        <v>485504.44301915017</v>
      </c>
      <c r="D16" s="108">
        <v>448613.59480128222</v>
      </c>
      <c r="E16" s="108">
        <v>448613.59480128222</v>
      </c>
      <c r="I16" s="122">
        <f>NPV(0.0751,I10:I14)+I9</f>
        <v>221788.91350196471</v>
      </c>
      <c r="J16" s="122">
        <f>NPV(0.0751,J10:J14)+J9</f>
        <v>403772.76422086393</v>
      </c>
      <c r="K16" s="122">
        <f t="shared" ref="K16:L16" ca="1" si="1">NPV(0.0751,K10:K14)+K9</f>
        <v>212226.6039224581</v>
      </c>
      <c r="L16" s="122">
        <f t="shared" ca="1" si="1"/>
        <v>212226.6039224581</v>
      </c>
    </row>
    <row r="17" spans="1:12" x14ac:dyDescent="0.3">
      <c r="A17" s="58">
        <f t="shared" si="0"/>
        <v>2023</v>
      </c>
      <c r="B17" s="109">
        <v>638149.32157136989</v>
      </c>
      <c r="C17" s="108">
        <v>518920.99826195132</v>
      </c>
      <c r="D17" s="108">
        <v>469517.94783246884</v>
      </c>
      <c r="E17" s="108">
        <v>469517.94783246884</v>
      </c>
      <c r="H17" s="168"/>
      <c r="I17" s="168"/>
      <c r="J17" s="168"/>
      <c r="K17" s="168"/>
      <c r="L17" s="168"/>
    </row>
    <row r="18" spans="1:12" x14ac:dyDescent="0.3">
      <c r="A18" s="58">
        <f t="shared" si="0"/>
        <v>2024</v>
      </c>
      <c r="B18" s="109">
        <v>683024.10248021048</v>
      </c>
      <c r="C18" s="108">
        <v>560815.07108805643</v>
      </c>
      <c r="D18" s="108">
        <v>484299.26180970162</v>
      </c>
      <c r="E18" s="108">
        <v>484299.26180970162</v>
      </c>
      <c r="H18" s="168"/>
      <c r="I18" s="203" t="s">
        <v>139</v>
      </c>
      <c r="J18" s="203" t="s">
        <v>140</v>
      </c>
      <c r="K18" s="168"/>
      <c r="L18" s="168"/>
    </row>
    <row r="19" spans="1:12" x14ac:dyDescent="0.3">
      <c r="A19" s="58">
        <f t="shared" si="0"/>
        <v>2025</v>
      </c>
      <c r="B19" s="109">
        <v>696138.98814164638</v>
      </c>
      <c r="C19" s="108">
        <v>597116.46412071376</v>
      </c>
      <c r="D19" s="108">
        <v>492528.46141057502</v>
      </c>
      <c r="E19" s="108">
        <v>492528.46141057502</v>
      </c>
      <c r="H19" s="205" t="s">
        <v>144</v>
      </c>
      <c r="I19" s="207">
        <f>I16+B44</f>
        <v>7559706.7139139604</v>
      </c>
      <c r="J19" s="207">
        <f>J16+C44</f>
        <v>6632034.695224571</v>
      </c>
      <c r="K19" s="168"/>
      <c r="L19" s="168"/>
    </row>
    <row r="20" spans="1:12" ht="15" thickBot="1" x14ac:dyDescent="0.35">
      <c r="A20" s="58">
        <f t="shared" si="0"/>
        <v>2026</v>
      </c>
      <c r="B20" s="109">
        <v>712649.0767124017</v>
      </c>
      <c r="C20" s="108">
        <v>584253.21310601977</v>
      </c>
      <c r="D20" s="108">
        <v>495910.38846767333</v>
      </c>
      <c r="E20" s="108">
        <v>495910.38846767333</v>
      </c>
      <c r="H20" s="168"/>
      <c r="I20" s="208"/>
      <c r="J20" s="208"/>
      <c r="K20" s="168"/>
      <c r="L20" s="168"/>
    </row>
    <row r="21" spans="1:12" ht="16.2" thickBot="1" x14ac:dyDescent="0.35">
      <c r="A21" s="58">
        <f t="shared" si="0"/>
        <v>2027</v>
      </c>
      <c r="B21" s="109">
        <v>721255.69311588514</v>
      </c>
      <c r="C21" s="108">
        <v>589649.9329193437</v>
      </c>
      <c r="D21" s="108">
        <v>497794.10326787416</v>
      </c>
      <c r="E21" s="108">
        <v>497794.10326787416</v>
      </c>
      <c r="H21" s="205" t="s">
        <v>145</v>
      </c>
      <c r="I21" s="209">
        <f>I19-J19</f>
        <v>927672.01868938934</v>
      </c>
      <c r="J21" s="208"/>
      <c r="K21" s="168"/>
      <c r="L21" s="168"/>
    </row>
    <row r="22" spans="1:12" ht="15" thickBot="1" x14ac:dyDescent="0.35">
      <c r="A22" s="58">
        <f t="shared" si="0"/>
        <v>2028</v>
      </c>
      <c r="B22" s="109">
        <v>725577.28648086032</v>
      </c>
      <c r="C22" s="108">
        <v>590681.38227940537</v>
      </c>
      <c r="D22" s="108">
        <v>501845.66684647585</v>
      </c>
      <c r="E22" s="108">
        <v>501845.66684647585</v>
      </c>
      <c r="H22" s="168"/>
      <c r="I22" s="208"/>
      <c r="J22" s="208"/>
      <c r="K22" s="168"/>
      <c r="L22" s="168"/>
    </row>
    <row r="23" spans="1:12" ht="16.2" thickBot="1" x14ac:dyDescent="0.35">
      <c r="A23" s="58">
        <f t="shared" si="0"/>
        <v>2029</v>
      </c>
      <c r="B23" s="109">
        <v>730548.9512011793</v>
      </c>
      <c r="C23" s="108">
        <v>621246.61272465019</v>
      </c>
      <c r="D23" s="108">
        <v>510551.61971874454</v>
      </c>
      <c r="E23" s="108">
        <v>510551.61971874454</v>
      </c>
      <c r="H23" s="205" t="s">
        <v>146</v>
      </c>
      <c r="I23" s="209">
        <f>I21*3</f>
        <v>2783016.056068168</v>
      </c>
      <c r="J23" s="208"/>
      <c r="K23" s="168"/>
      <c r="L23" s="168"/>
    </row>
    <row r="24" spans="1:12" x14ac:dyDescent="0.3">
      <c r="A24" s="58">
        <f t="shared" si="0"/>
        <v>2030</v>
      </c>
      <c r="B24" s="109">
        <v>740434.26057173451</v>
      </c>
      <c r="C24" s="108">
        <v>598709.25122008089</v>
      </c>
      <c r="D24" s="108">
        <v>524381.63695944939</v>
      </c>
      <c r="E24" s="108">
        <v>524381.63695944939</v>
      </c>
      <c r="H24" s="168"/>
      <c r="I24" s="168"/>
      <c r="J24" s="168"/>
      <c r="K24" s="168"/>
      <c r="L24" s="168"/>
    </row>
    <row r="25" spans="1:12" x14ac:dyDescent="0.3">
      <c r="A25" s="58">
        <f t="shared" si="0"/>
        <v>2031</v>
      </c>
      <c r="B25" s="109">
        <v>757217.54555182101</v>
      </c>
      <c r="C25" s="108">
        <v>611949.41096637608</v>
      </c>
      <c r="D25" s="108">
        <v>541997.5404041775</v>
      </c>
      <c r="E25" s="108">
        <v>541997.5404041775</v>
      </c>
      <c r="H25" s="168"/>
      <c r="I25" s="168"/>
      <c r="J25" s="168"/>
      <c r="K25" s="168"/>
      <c r="L25" s="168"/>
    </row>
    <row r="26" spans="1:12" x14ac:dyDescent="0.3">
      <c r="A26" s="58">
        <f t="shared" si="0"/>
        <v>2032</v>
      </c>
      <c r="B26" s="109">
        <v>795182.41483394464</v>
      </c>
      <c r="C26" s="108">
        <v>646282.57688386354</v>
      </c>
      <c r="D26" s="108">
        <v>561207.1215626552</v>
      </c>
      <c r="E26" s="108">
        <v>561207.1215626552</v>
      </c>
      <c r="H26" s="168"/>
      <c r="I26" s="168"/>
      <c r="J26" s="168"/>
      <c r="K26" s="168"/>
      <c r="L26" s="168"/>
    </row>
    <row r="27" spans="1:12" x14ac:dyDescent="0.3">
      <c r="A27" s="58">
        <f t="shared" si="0"/>
        <v>2033</v>
      </c>
      <c r="B27" s="109">
        <v>806896.89371229371</v>
      </c>
      <c r="C27" s="108">
        <v>686247.5635264439</v>
      </c>
      <c r="D27" s="108">
        <v>579997.84293671127</v>
      </c>
      <c r="E27" s="108">
        <v>579997.84293671127</v>
      </c>
      <c r="H27" s="168"/>
      <c r="I27" s="168"/>
      <c r="J27" s="168"/>
      <c r="K27" s="168"/>
      <c r="L27" s="168"/>
    </row>
    <row r="28" spans="1:12" x14ac:dyDescent="0.3">
      <c r="A28" s="58">
        <f t="shared" si="0"/>
        <v>2034</v>
      </c>
      <c r="B28" s="109">
        <v>842531.39272600156</v>
      </c>
      <c r="C28" s="108">
        <v>686093.50047969772</v>
      </c>
      <c r="D28" s="108">
        <v>605149.87468834745</v>
      </c>
      <c r="E28" s="108">
        <v>605149.87468834745</v>
      </c>
    </row>
    <row r="29" spans="1:12" x14ac:dyDescent="0.3">
      <c r="A29" s="58">
        <f t="shared" si="0"/>
        <v>2035</v>
      </c>
      <c r="B29" s="109">
        <v>860307.45210498769</v>
      </c>
      <c r="C29" s="108">
        <v>699958.61255252629</v>
      </c>
      <c r="D29" s="108">
        <v>612392.01002510171</v>
      </c>
      <c r="E29" s="108">
        <v>612392.01002510171</v>
      </c>
    </row>
    <row r="30" spans="1:12" x14ac:dyDescent="0.3">
      <c r="A30" s="58">
        <f t="shared" si="0"/>
        <v>2036</v>
      </c>
      <c r="B30" s="109">
        <v>883790.48292770423</v>
      </c>
      <c r="C30" s="108">
        <v>719432.92238643125</v>
      </c>
      <c r="D30" s="108">
        <v>626137.4851946152</v>
      </c>
      <c r="E30" s="108">
        <v>626137.4851946152</v>
      </c>
    </row>
    <row r="31" spans="1:12" x14ac:dyDescent="0.3">
      <c r="A31" s="58">
        <f t="shared" si="0"/>
        <v>2037</v>
      </c>
      <c r="B31" s="109">
        <v>904919.77475167485</v>
      </c>
      <c r="C31" s="108">
        <v>771745.48884726199</v>
      </c>
      <c r="D31" s="108">
        <v>639233.73992152361</v>
      </c>
      <c r="E31" s="108">
        <v>639233.73992152361</v>
      </c>
    </row>
    <row r="32" spans="1:12" x14ac:dyDescent="0.3">
      <c r="A32" s="58">
        <f t="shared" si="0"/>
        <v>2038</v>
      </c>
      <c r="B32" s="109">
        <v>924607.69877457793</v>
      </c>
      <c r="C32" s="108">
        <v>751929.53673090297</v>
      </c>
      <c r="D32" s="108">
        <v>652605.8486659209</v>
      </c>
      <c r="E32" s="108">
        <v>652605.8486659209</v>
      </c>
    </row>
    <row r="33" spans="1:6" x14ac:dyDescent="0.3">
      <c r="A33" s="58">
        <f t="shared" si="0"/>
        <v>2039</v>
      </c>
      <c r="B33" s="109">
        <v>944097.09964489075</v>
      </c>
      <c r="C33" s="108">
        <v>767101.98355012399</v>
      </c>
      <c r="D33" s="108">
        <v>666995.606221786</v>
      </c>
      <c r="E33" s="108">
        <v>666995.606221786</v>
      </c>
    </row>
    <row r="34" spans="1:6" x14ac:dyDescent="0.3">
      <c r="A34" s="58">
        <f t="shared" si="0"/>
        <v>2040</v>
      </c>
      <c r="B34" s="109">
        <v>964549.56656722212</v>
      </c>
      <c r="C34" s="108">
        <v>783129.57257008611</v>
      </c>
      <c r="D34" s="108">
        <v>682791.55906695127</v>
      </c>
      <c r="E34" s="108">
        <v>682791.55906695127</v>
      </c>
    </row>
    <row r="35" spans="1:6" x14ac:dyDescent="0.3">
      <c r="A35" s="58">
        <f t="shared" si="0"/>
        <v>2041</v>
      </c>
      <c r="B35" s="109">
        <v>986742.81164699921</v>
      </c>
      <c r="C35" s="108">
        <v>839743.31816592906</v>
      </c>
      <c r="D35" s="108">
        <v>699982.72683701036</v>
      </c>
      <c r="E35" s="108">
        <v>699982.72683701036</v>
      </c>
    </row>
    <row r="36" spans="1:6" x14ac:dyDescent="0.3">
      <c r="A36" s="58">
        <f t="shared" si="0"/>
        <v>2042</v>
      </c>
      <c r="B36" s="109">
        <v>1010924.4888309068</v>
      </c>
      <c r="C36" s="108">
        <v>820320.10763766582</v>
      </c>
      <c r="D36" s="108">
        <v>718230.65564428584</v>
      </c>
      <c r="E36" s="108">
        <v>718230.65564428584</v>
      </c>
    </row>
    <row r="37" spans="1:6" x14ac:dyDescent="0.3">
      <c r="A37" s="58">
        <f t="shared" si="0"/>
        <v>2043</v>
      </c>
      <c r="B37" s="109">
        <v>997755.9223339482</v>
      </c>
      <c r="C37" s="108">
        <v>802386.43161087623</v>
      </c>
      <c r="D37" s="108">
        <v>707839.21508932568</v>
      </c>
      <c r="E37" s="108">
        <v>707839.21508932568</v>
      </c>
    </row>
    <row r="38" spans="1:6" x14ac:dyDescent="0.3">
      <c r="A38" s="58">
        <f t="shared" si="0"/>
        <v>2044</v>
      </c>
      <c r="B38" s="109">
        <v>986967.1186487521</v>
      </c>
      <c r="C38" s="108">
        <v>786713.39065760328</v>
      </c>
      <c r="D38" s="108">
        <v>694982.03869007668</v>
      </c>
      <c r="E38" s="108">
        <v>694982.03869007668</v>
      </c>
    </row>
    <row r="39" spans="1:6" x14ac:dyDescent="0.3">
      <c r="A39" s="58">
        <f t="shared" si="0"/>
        <v>2045</v>
      </c>
      <c r="B39" s="109">
        <v>949769.54359875375</v>
      </c>
      <c r="C39" s="108">
        <v>787509.60777900286</v>
      </c>
      <c r="D39" s="108">
        <v>662057.53197179979</v>
      </c>
      <c r="E39" s="108">
        <v>662057.53197179979</v>
      </c>
    </row>
    <row r="40" spans="1:6" x14ac:dyDescent="0.3">
      <c r="A40" s="58">
        <f t="shared" si="0"/>
        <v>2046</v>
      </c>
      <c r="B40" s="109">
        <v>892442.02421990025</v>
      </c>
      <c r="C40" s="108">
        <v>682050.45124919957</v>
      </c>
      <c r="D40" s="108">
        <v>614522.62665609864</v>
      </c>
      <c r="E40" s="108">
        <v>614522.62665609864</v>
      </c>
    </row>
    <row r="41" spans="1:6" x14ac:dyDescent="0.3">
      <c r="A41" s="58" t="s">
        <v>229</v>
      </c>
      <c r="B41" s="192">
        <f>B44/30/74000</f>
        <v>3.305368378563962</v>
      </c>
      <c r="C41" s="108"/>
      <c r="D41" s="108"/>
      <c r="E41" s="108"/>
    </row>
    <row r="43" spans="1:6" x14ac:dyDescent="0.3">
      <c r="A43" s="83" t="s">
        <v>147</v>
      </c>
      <c r="B43" s="110">
        <f>NPV(0.0754,B10:B40)+B9</f>
        <v>7310573.710608189</v>
      </c>
      <c r="C43" s="110">
        <f>NPV(0.0754,C10:C40)+C9</f>
        <v>6205678.3494113414</v>
      </c>
      <c r="D43" s="110">
        <f>NPV(0.0754,D10:D40)+D9</f>
        <v>5209815.5449881861</v>
      </c>
      <c r="E43" s="110">
        <f>NPV(0.0754,E10:E40)+E9</f>
        <v>5168455.0758848283</v>
      </c>
      <c r="F43" t="s">
        <v>248</v>
      </c>
    </row>
    <row r="44" spans="1:6" x14ac:dyDescent="0.3">
      <c r="A44" s="83" t="s">
        <v>147</v>
      </c>
      <c r="B44" s="110">
        <f>NPV(0.0751,B10:B40)+B9</f>
        <v>7337917.8004119955</v>
      </c>
      <c r="C44" s="110">
        <f>NPV(0.0751,C10:C40)+C9</f>
        <v>6228261.9310037075</v>
      </c>
      <c r="D44" s="110">
        <f>NPV(0.0751,D10:D40)+D9</f>
        <v>5229201.3639645595</v>
      </c>
      <c r="E44" s="110">
        <f>NPV(0.0751,E10:E40)+E9</f>
        <v>5187795.8147255508</v>
      </c>
      <c r="F44" t="s">
        <v>148</v>
      </c>
    </row>
    <row r="46" spans="1:6" x14ac:dyDescent="0.3">
      <c r="A46" t="s">
        <v>232</v>
      </c>
      <c r="B46" s="111"/>
      <c r="C46" s="122">
        <f>C43-$B43</f>
        <v>-1104895.3611968476</v>
      </c>
      <c r="D46" s="122">
        <f t="shared" ref="D46:E46" si="2">D43-$B43</f>
        <v>-2100758.1656200029</v>
      </c>
      <c r="E46" s="122">
        <f t="shared" si="2"/>
        <v>-2142118.6347233607</v>
      </c>
    </row>
    <row r="47" spans="1:6" x14ac:dyDescent="0.3">
      <c r="A47" t="s">
        <v>163</v>
      </c>
      <c r="C47" s="111">
        <f>C46*3</f>
        <v>-3314686.0835905429</v>
      </c>
      <c r="D47" s="111"/>
      <c r="E47" s="122">
        <f>E46*2+D46</f>
        <v>-6384995.4350667242</v>
      </c>
    </row>
    <row r="48" spans="1:6" x14ac:dyDescent="0.3">
      <c r="A48" t="s">
        <v>162</v>
      </c>
      <c r="C48" s="125">
        <v>1.05</v>
      </c>
      <c r="D48" s="126"/>
      <c r="E48" s="125">
        <v>1.05</v>
      </c>
    </row>
    <row r="49" spans="1:5" x14ac:dyDescent="0.3">
      <c r="A49" t="s">
        <v>164</v>
      </c>
      <c r="C49" s="111">
        <f>C47*C48</f>
        <v>-3480420.3877700702</v>
      </c>
      <c r="E49" s="122">
        <f>E47*E48</f>
        <v>-6704245.2068200605</v>
      </c>
    </row>
  </sheetData>
  <mergeCells count="1">
    <mergeCell ref="D5:E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workbookViewId="0"/>
  </sheetViews>
  <sheetFormatPr defaultRowHeight="14.4" x14ac:dyDescent="0.3"/>
  <cols>
    <col min="1" max="1" width="11.77734375" customWidth="1"/>
    <col min="2" max="2" width="42.5546875" bestFit="1" customWidth="1"/>
    <col min="3" max="3" width="17.44140625" bestFit="1" customWidth="1"/>
    <col min="4" max="4" width="15.109375" bestFit="1" customWidth="1"/>
    <col min="5" max="5" width="11.88671875" bestFit="1" customWidth="1"/>
    <col min="6" max="33" width="11.44140625" bestFit="1" customWidth="1"/>
    <col min="34" max="34" width="15.33203125" customWidth="1"/>
  </cols>
  <sheetData>
    <row r="1" spans="1:34" ht="28.8" x14ac:dyDescent="0.4">
      <c r="A1" s="233" t="s">
        <v>255</v>
      </c>
      <c r="B1" s="128" t="s">
        <v>204</v>
      </c>
      <c r="C1" s="129"/>
      <c r="D1" s="129"/>
      <c r="G1" t="s">
        <v>205</v>
      </c>
      <c r="H1" s="130">
        <v>74</v>
      </c>
      <c r="I1" s="131"/>
    </row>
    <row r="2" spans="1:34" x14ac:dyDescent="0.3">
      <c r="G2" t="s">
        <v>206</v>
      </c>
      <c r="H2" s="91">
        <v>2.5000000000000001E-2</v>
      </c>
    </row>
    <row r="3" spans="1:34" ht="18" x14ac:dyDescent="0.35">
      <c r="B3" s="128"/>
      <c r="G3" t="s">
        <v>207</v>
      </c>
      <c r="H3" s="91">
        <v>7.5399999999999995E-2</v>
      </c>
    </row>
    <row r="4" spans="1:34" x14ac:dyDescent="0.3">
      <c r="B4" s="132"/>
      <c r="C4" t="s">
        <v>142</v>
      </c>
      <c r="D4" s="133">
        <v>2017</v>
      </c>
      <c r="E4" s="133">
        <v>2018</v>
      </c>
      <c r="F4" s="133">
        <v>2019</v>
      </c>
      <c r="G4" s="133">
        <v>2020</v>
      </c>
      <c r="H4" s="133">
        <v>2021</v>
      </c>
      <c r="I4" s="133">
        <v>2022</v>
      </c>
      <c r="J4" s="133">
        <v>2023</v>
      </c>
      <c r="K4" s="133">
        <v>2024</v>
      </c>
      <c r="L4" s="133">
        <v>2025</v>
      </c>
      <c r="M4" s="133">
        <v>2026</v>
      </c>
      <c r="N4" s="133">
        <v>2027</v>
      </c>
      <c r="O4" s="133">
        <v>2028</v>
      </c>
      <c r="P4" s="133">
        <v>2029</v>
      </c>
      <c r="Q4" s="133">
        <v>2030</v>
      </c>
      <c r="R4" s="133">
        <v>2031</v>
      </c>
      <c r="S4" s="133">
        <v>2032</v>
      </c>
      <c r="T4" s="133">
        <v>2033</v>
      </c>
      <c r="U4" s="133">
        <v>2034</v>
      </c>
      <c r="V4" s="133">
        <v>2035</v>
      </c>
      <c r="W4" s="133">
        <v>2036</v>
      </c>
      <c r="X4" s="133">
        <v>2037</v>
      </c>
      <c r="Y4" s="133">
        <v>2038</v>
      </c>
      <c r="Z4" s="133">
        <v>2039</v>
      </c>
      <c r="AA4" s="133">
        <v>2040</v>
      </c>
      <c r="AB4" s="133">
        <v>2041</v>
      </c>
      <c r="AC4" s="133">
        <v>2042</v>
      </c>
      <c r="AD4" s="133">
        <v>2043</v>
      </c>
      <c r="AE4" s="133">
        <v>2044</v>
      </c>
      <c r="AF4" s="133">
        <v>2045</v>
      </c>
      <c r="AG4" s="133">
        <v>2046</v>
      </c>
    </row>
    <row r="5" spans="1:34" x14ac:dyDescent="0.3">
      <c r="B5" s="132"/>
      <c r="C5" t="s">
        <v>208</v>
      </c>
      <c r="D5" s="134">
        <v>1</v>
      </c>
      <c r="E5" s="134">
        <v>2</v>
      </c>
      <c r="F5" s="134">
        <v>3</v>
      </c>
      <c r="G5" s="134">
        <v>4</v>
      </c>
      <c r="H5" s="134">
        <v>5</v>
      </c>
      <c r="I5" s="134">
        <v>6</v>
      </c>
      <c r="J5" s="134">
        <v>7</v>
      </c>
      <c r="K5" s="134">
        <v>8</v>
      </c>
      <c r="L5" s="134">
        <v>9</v>
      </c>
      <c r="M5" s="134">
        <v>10</v>
      </c>
      <c r="N5" s="134">
        <v>11</v>
      </c>
      <c r="O5" s="134">
        <v>12</v>
      </c>
      <c r="P5" s="134">
        <v>13</v>
      </c>
      <c r="Q5" s="134">
        <v>14</v>
      </c>
      <c r="R5" s="134">
        <v>15</v>
      </c>
      <c r="S5" s="134">
        <v>16</v>
      </c>
      <c r="T5" s="134">
        <v>17</v>
      </c>
      <c r="U5" s="134">
        <v>18</v>
      </c>
      <c r="V5" s="134">
        <v>19</v>
      </c>
      <c r="W5" s="134">
        <v>20</v>
      </c>
      <c r="X5" s="134">
        <v>21</v>
      </c>
      <c r="Y5" s="134">
        <v>22</v>
      </c>
      <c r="Z5" s="134">
        <v>23</v>
      </c>
      <c r="AA5" s="134">
        <v>24</v>
      </c>
      <c r="AB5" s="134">
        <v>25</v>
      </c>
      <c r="AC5" s="134">
        <v>26</v>
      </c>
      <c r="AD5" s="134">
        <v>27</v>
      </c>
      <c r="AE5" s="134">
        <v>28</v>
      </c>
      <c r="AF5" s="134">
        <v>29</v>
      </c>
      <c r="AG5" s="134">
        <v>30</v>
      </c>
    </row>
    <row r="6" spans="1:34" ht="21" x14ac:dyDescent="0.4">
      <c r="B6" s="210" t="s">
        <v>209</v>
      </c>
      <c r="C6" s="168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</row>
    <row r="7" spans="1:34" ht="15.6" x14ac:dyDescent="0.3">
      <c r="B7" s="135" t="s">
        <v>210</v>
      </c>
      <c r="C7" s="136" t="s">
        <v>211</v>
      </c>
      <c r="D7" s="137">
        <v>381961.96282490273</v>
      </c>
      <c r="E7" s="137">
        <v>428311.96282490273</v>
      </c>
      <c r="F7" s="137">
        <v>428311.96282490273</v>
      </c>
      <c r="G7" s="137">
        <v>428311.96282490273</v>
      </c>
      <c r="H7" s="137">
        <v>428311.96282490273</v>
      </c>
      <c r="I7" s="137">
        <v>493945.60672248766</v>
      </c>
      <c r="J7" s="137">
        <v>510984.26082575903</v>
      </c>
      <c r="K7" s="137">
        <v>533577.33719768969</v>
      </c>
      <c r="L7" s="137">
        <v>530558.69747826247</v>
      </c>
      <c r="M7" s="137">
        <v>529894.41496161174</v>
      </c>
      <c r="N7" s="137">
        <v>523213.57584268227</v>
      </c>
      <c r="O7" s="137">
        <v>513510.77826822078</v>
      </c>
      <c r="P7" s="137">
        <v>504418.88838925934</v>
      </c>
      <c r="Q7" s="137">
        <v>498774.97953982966</v>
      </c>
      <c r="R7" s="137">
        <v>497639.62806680624</v>
      </c>
      <c r="S7" s="137">
        <v>509843.856099025</v>
      </c>
      <c r="T7" s="137">
        <v>504736.37131855439</v>
      </c>
      <c r="U7" s="137">
        <v>514172.42742706049</v>
      </c>
      <c r="V7" s="137">
        <v>512215.25848252582</v>
      </c>
      <c r="W7" s="137">
        <v>513362.66632333247</v>
      </c>
      <c r="X7" s="137">
        <v>512815.53699968843</v>
      </c>
      <c r="Y7" s="137">
        <v>511192.80894264579</v>
      </c>
      <c r="Z7" s="137">
        <v>509237.09107481316</v>
      </c>
      <c r="AA7" s="137">
        <v>507579.47245243064</v>
      </c>
      <c r="AB7" s="137">
        <v>506593.49131147144</v>
      </c>
      <c r="AC7" s="137">
        <v>506349.61737104441</v>
      </c>
      <c r="AD7" s="137">
        <v>487564.6585079201</v>
      </c>
      <c r="AE7" s="137">
        <v>470529.3543299319</v>
      </c>
      <c r="AF7" s="137">
        <v>441751.88538378035</v>
      </c>
      <c r="AG7" s="138">
        <v>404963.90909690538</v>
      </c>
      <c r="AH7" s="139"/>
    </row>
    <row r="8" spans="1:34" ht="15.6" x14ac:dyDescent="0.3">
      <c r="B8" s="140" t="s">
        <v>210</v>
      </c>
      <c r="C8" s="141" t="s">
        <v>124</v>
      </c>
      <c r="D8" s="142">
        <f>D7*(1+$H$2)^2</f>
        <v>401298.78719291341</v>
      </c>
      <c r="E8" s="142">
        <f t="shared" ref="E8:AG8" si="0">E7*(1+$H$2)^2</f>
        <v>449995.25594291341</v>
      </c>
      <c r="F8" s="142">
        <f t="shared" si="0"/>
        <v>449995.25594291341</v>
      </c>
      <c r="G8" s="142">
        <f t="shared" si="0"/>
        <v>449995.25594291341</v>
      </c>
      <c r="H8" s="142">
        <f t="shared" si="0"/>
        <v>449995.25594291341</v>
      </c>
      <c r="I8" s="142">
        <f t="shared" si="0"/>
        <v>518951.60306281358</v>
      </c>
      <c r="J8" s="142">
        <f t="shared" si="0"/>
        <v>536852.83903006301</v>
      </c>
      <c r="K8" s="142">
        <f t="shared" si="0"/>
        <v>560589.68989332265</v>
      </c>
      <c r="L8" s="142">
        <f t="shared" si="0"/>
        <v>557418.23153809947</v>
      </c>
      <c r="M8" s="142">
        <f t="shared" si="0"/>
        <v>556720.31971904333</v>
      </c>
      <c r="N8" s="142">
        <f t="shared" si="0"/>
        <v>549701.26311971806</v>
      </c>
      <c r="O8" s="142">
        <f t="shared" si="0"/>
        <v>539507.26141804946</v>
      </c>
      <c r="P8" s="142">
        <f t="shared" si="0"/>
        <v>529955.0946139656</v>
      </c>
      <c r="Q8" s="142">
        <f t="shared" si="0"/>
        <v>524025.46287903347</v>
      </c>
      <c r="R8" s="142">
        <f t="shared" si="0"/>
        <v>522832.63423768827</v>
      </c>
      <c r="S8" s="142">
        <f t="shared" si="0"/>
        <v>535654.70131403813</v>
      </c>
      <c r="T8" s="142">
        <f t="shared" si="0"/>
        <v>530288.65011655621</v>
      </c>
      <c r="U8" s="142">
        <f t="shared" si="0"/>
        <v>540202.40656555537</v>
      </c>
      <c r="V8" s="142">
        <f t="shared" si="0"/>
        <v>538146.1559432036</v>
      </c>
      <c r="W8" s="142">
        <f t="shared" si="0"/>
        <v>539351.65130595118</v>
      </c>
      <c r="X8" s="142">
        <f t="shared" si="0"/>
        <v>538776.82356029761</v>
      </c>
      <c r="Y8" s="142">
        <f t="shared" si="0"/>
        <v>537071.94489536714</v>
      </c>
      <c r="Z8" s="142">
        <f t="shared" si="0"/>
        <v>535017.21881047555</v>
      </c>
      <c r="AA8" s="142">
        <f t="shared" si="0"/>
        <v>533275.68324533489</v>
      </c>
      <c r="AB8" s="142">
        <f t="shared" si="0"/>
        <v>532239.78680911462</v>
      </c>
      <c r="AC8" s="142">
        <f t="shared" si="0"/>
        <v>531983.56675045355</v>
      </c>
      <c r="AD8" s="142">
        <f t="shared" si="0"/>
        <v>512247.61934488354</v>
      </c>
      <c r="AE8" s="142">
        <f t="shared" si="0"/>
        <v>494349.90289288468</v>
      </c>
      <c r="AF8" s="142">
        <f t="shared" si="0"/>
        <v>464115.57458133419</v>
      </c>
      <c r="AG8" s="143">
        <f t="shared" si="0"/>
        <v>425465.20699493616</v>
      </c>
      <c r="AH8" s="139"/>
    </row>
    <row r="9" spans="1:34" ht="15.6" x14ac:dyDescent="0.3">
      <c r="B9" s="144" t="s">
        <v>210</v>
      </c>
      <c r="C9" s="145" t="s">
        <v>125</v>
      </c>
      <c r="D9" s="146">
        <f>D7*(1+$H$2)^(D$4-2014)</f>
        <v>411331.25687273621</v>
      </c>
      <c r="E9" s="146">
        <f>E7*(1+$H$2)^(E$4-2014)</f>
        <v>472776.26577502332</v>
      </c>
      <c r="F9" s="146">
        <f>F7*(1+$H$2)^(F$4-2014)</f>
        <v>484595.67241939885</v>
      </c>
      <c r="G9" s="146">
        <f t="shared" ref="G9:AG9" si="1">G7*(1+$H$2)^(G$4-2014)</f>
        <v>496710.56422988378</v>
      </c>
      <c r="H9" s="146">
        <f t="shared" si="1"/>
        <v>509128.32833563094</v>
      </c>
      <c r="I9" s="146">
        <f t="shared" si="1"/>
        <v>601824.75844297325</v>
      </c>
      <c r="J9" s="146">
        <f t="shared" si="1"/>
        <v>638149.32157136989</v>
      </c>
      <c r="K9" s="146">
        <f t="shared" si="1"/>
        <v>683024.10248021048</v>
      </c>
      <c r="L9" s="146">
        <f t="shared" si="1"/>
        <v>696138.98814164638</v>
      </c>
      <c r="M9" s="146">
        <f t="shared" si="1"/>
        <v>712649.0767124017</v>
      </c>
      <c r="N9" s="146">
        <f t="shared" si="1"/>
        <v>721255.69311588514</v>
      </c>
      <c r="O9" s="146">
        <f t="shared" si="1"/>
        <v>725577.28648086032</v>
      </c>
      <c r="P9" s="146">
        <f t="shared" si="1"/>
        <v>730548.9512011793</v>
      </c>
      <c r="Q9" s="146">
        <f t="shared" si="1"/>
        <v>740434.26057173451</v>
      </c>
      <c r="R9" s="146">
        <f t="shared" si="1"/>
        <v>757217.54555182101</v>
      </c>
      <c r="S9" s="146">
        <f t="shared" si="1"/>
        <v>795182.41483394464</v>
      </c>
      <c r="T9" s="146">
        <f t="shared" si="1"/>
        <v>806896.89371229371</v>
      </c>
      <c r="U9" s="146">
        <f t="shared" si="1"/>
        <v>842531.39272600156</v>
      </c>
      <c r="V9" s="146">
        <f t="shared" si="1"/>
        <v>860307.45210498769</v>
      </c>
      <c r="W9" s="146">
        <f t="shared" si="1"/>
        <v>883790.48292770423</v>
      </c>
      <c r="X9" s="146">
        <f t="shared" si="1"/>
        <v>904919.77475167485</v>
      </c>
      <c r="Y9" s="146">
        <f t="shared" si="1"/>
        <v>924607.69877457793</v>
      </c>
      <c r="Z9" s="146">
        <f t="shared" si="1"/>
        <v>944097.09964489075</v>
      </c>
      <c r="AA9" s="146">
        <f t="shared" si="1"/>
        <v>964549.56656722212</v>
      </c>
      <c r="AB9" s="146">
        <f t="shared" si="1"/>
        <v>986742.81164699921</v>
      </c>
      <c r="AC9" s="146">
        <f t="shared" si="1"/>
        <v>1010924.4888309068</v>
      </c>
      <c r="AD9" s="146">
        <f t="shared" si="1"/>
        <v>997755.9223339482</v>
      </c>
      <c r="AE9" s="146">
        <f t="shared" si="1"/>
        <v>986967.1186487521</v>
      </c>
      <c r="AF9" s="146">
        <f t="shared" si="1"/>
        <v>949769.54359875375</v>
      </c>
      <c r="AG9" s="147">
        <f t="shared" si="1"/>
        <v>892442.02421990025</v>
      </c>
    </row>
    <row r="10" spans="1:34" ht="15.6" x14ac:dyDescent="0.3">
      <c r="B10" s="135" t="s">
        <v>212</v>
      </c>
      <c r="C10" s="136" t="s">
        <v>211</v>
      </c>
      <c r="D10" s="148">
        <f>D7/$H$1/1000</f>
        <v>5.1616481462824693</v>
      </c>
      <c r="E10" s="148">
        <f t="shared" ref="E10:AG10" si="2">E7/$H$1/1000</f>
        <v>5.7879994976338205</v>
      </c>
      <c r="F10" s="148">
        <f t="shared" si="2"/>
        <v>5.7879994976338205</v>
      </c>
      <c r="G10" s="149">
        <f t="shared" si="2"/>
        <v>5.7879994976338205</v>
      </c>
      <c r="H10" s="148">
        <f t="shared" si="2"/>
        <v>5.7879994976338205</v>
      </c>
      <c r="I10" s="148">
        <f t="shared" si="2"/>
        <v>6.6749406313849686</v>
      </c>
      <c r="J10" s="148">
        <f t="shared" si="2"/>
        <v>6.9051927138616085</v>
      </c>
      <c r="K10" s="148">
        <f t="shared" si="2"/>
        <v>7.2105045567255361</v>
      </c>
      <c r="L10" s="148">
        <f t="shared" si="2"/>
        <v>7.1697121280846279</v>
      </c>
      <c r="M10" s="148">
        <f t="shared" si="2"/>
        <v>7.1607353373190774</v>
      </c>
      <c r="N10" s="148">
        <f t="shared" si="2"/>
        <v>7.0704537276038142</v>
      </c>
      <c r="O10" s="148">
        <f t="shared" si="2"/>
        <v>6.9393348414624434</v>
      </c>
      <c r="P10" s="148">
        <f t="shared" si="2"/>
        <v>6.8164714647197204</v>
      </c>
      <c r="Q10" s="148">
        <f t="shared" si="2"/>
        <v>6.740202426213914</v>
      </c>
      <c r="R10" s="148">
        <f t="shared" si="2"/>
        <v>6.7248598387406249</v>
      </c>
      <c r="S10" s="148">
        <f t="shared" si="2"/>
        <v>6.8897818391760142</v>
      </c>
      <c r="T10" s="148">
        <f t="shared" si="2"/>
        <v>6.8207617745750593</v>
      </c>
      <c r="U10" s="148">
        <f t="shared" si="2"/>
        <v>6.9482760463116282</v>
      </c>
      <c r="V10" s="148">
        <f t="shared" si="2"/>
        <v>6.9218278173314305</v>
      </c>
      <c r="W10" s="148">
        <f t="shared" si="2"/>
        <v>6.9373333286936818</v>
      </c>
      <c r="X10" s="148">
        <f t="shared" si="2"/>
        <v>6.9299396891849785</v>
      </c>
      <c r="Y10" s="148">
        <f t="shared" si="2"/>
        <v>6.9080109316573752</v>
      </c>
      <c r="Z10" s="148">
        <f t="shared" si="2"/>
        <v>6.8815823118217994</v>
      </c>
      <c r="AA10" s="148">
        <f t="shared" si="2"/>
        <v>6.8591820601679823</v>
      </c>
      <c r="AB10" s="148">
        <f t="shared" si="2"/>
        <v>6.8458579906955599</v>
      </c>
      <c r="AC10" s="148">
        <f t="shared" si="2"/>
        <v>6.842562396906005</v>
      </c>
      <c r="AD10" s="148">
        <f t="shared" si="2"/>
        <v>6.58871160145838</v>
      </c>
      <c r="AE10" s="148">
        <f t="shared" si="2"/>
        <v>6.3585047882423229</v>
      </c>
      <c r="AF10" s="148">
        <f t="shared" si="2"/>
        <v>5.9696200727537887</v>
      </c>
      <c r="AG10" s="150">
        <f t="shared" si="2"/>
        <v>5.472485258066289</v>
      </c>
    </row>
    <row r="11" spans="1:34" ht="15.6" x14ac:dyDescent="0.3">
      <c r="B11" s="140" t="s">
        <v>212</v>
      </c>
      <c r="C11" s="141" t="s">
        <v>124</v>
      </c>
      <c r="D11" s="151">
        <f t="shared" ref="D11:AG12" si="3">D8/$H$1/1000</f>
        <v>5.4229565836880189</v>
      </c>
      <c r="E11" s="151">
        <f t="shared" si="3"/>
        <v>6.0810169722015326</v>
      </c>
      <c r="F11" s="151">
        <f t="shared" si="3"/>
        <v>6.0810169722015326</v>
      </c>
      <c r="G11" s="151">
        <f t="shared" si="3"/>
        <v>6.0810169722015326</v>
      </c>
      <c r="H11" s="151">
        <f t="shared" si="3"/>
        <v>6.0810169722015326</v>
      </c>
      <c r="I11" s="151">
        <f t="shared" si="3"/>
        <v>7.0128595008488315</v>
      </c>
      <c r="J11" s="151">
        <f t="shared" si="3"/>
        <v>7.254768095000852</v>
      </c>
      <c r="K11" s="151">
        <f t="shared" si="3"/>
        <v>7.5755363499097657</v>
      </c>
      <c r="L11" s="151">
        <f t="shared" si="3"/>
        <v>7.5326788045689117</v>
      </c>
      <c r="M11" s="151">
        <f t="shared" si="3"/>
        <v>7.5232475637708554</v>
      </c>
      <c r="N11" s="151">
        <f t="shared" si="3"/>
        <v>7.4283954475637577</v>
      </c>
      <c r="O11" s="151">
        <f t="shared" si="3"/>
        <v>7.2906386678114794</v>
      </c>
      <c r="P11" s="151">
        <f t="shared" si="3"/>
        <v>7.1615553326211563</v>
      </c>
      <c r="Q11" s="151">
        <f t="shared" si="3"/>
        <v>7.0814251740409926</v>
      </c>
      <c r="R11" s="151">
        <f t="shared" si="3"/>
        <v>7.0653058680768686</v>
      </c>
      <c r="S11" s="151">
        <f t="shared" si="3"/>
        <v>7.2385770447842992</v>
      </c>
      <c r="T11" s="151">
        <f t="shared" si="3"/>
        <v>7.1660628394129215</v>
      </c>
      <c r="U11" s="151">
        <f t="shared" si="3"/>
        <v>7.3000325211561536</v>
      </c>
      <c r="V11" s="151">
        <f t="shared" si="3"/>
        <v>7.272245350583832</v>
      </c>
      <c r="W11" s="151">
        <f t="shared" si="3"/>
        <v>7.2885358284587998</v>
      </c>
      <c r="X11" s="151">
        <f t="shared" si="3"/>
        <v>7.2807678859499676</v>
      </c>
      <c r="Y11" s="151">
        <f t="shared" si="3"/>
        <v>7.2577289850725295</v>
      </c>
      <c r="Z11" s="151">
        <f t="shared" si="3"/>
        <v>7.2299624163577771</v>
      </c>
      <c r="AA11" s="151">
        <f t="shared" si="3"/>
        <v>7.2064281519639852</v>
      </c>
      <c r="AB11" s="151">
        <f t="shared" si="3"/>
        <v>7.1924295514745218</v>
      </c>
      <c r="AC11" s="151">
        <f t="shared" si="3"/>
        <v>7.188967118249372</v>
      </c>
      <c r="AD11" s="151">
        <f t="shared" si="3"/>
        <v>6.9222651262822099</v>
      </c>
      <c r="AE11" s="151">
        <f t="shared" si="3"/>
        <v>6.6804040931470903</v>
      </c>
      <c r="AF11" s="151">
        <f t="shared" si="3"/>
        <v>6.2718320889369492</v>
      </c>
      <c r="AG11" s="152">
        <f t="shared" si="3"/>
        <v>5.7495298242558937</v>
      </c>
    </row>
    <row r="12" spans="1:34" ht="15.6" x14ac:dyDescent="0.3">
      <c r="B12" s="144" t="s">
        <v>212</v>
      </c>
      <c r="C12" s="145" t="s">
        <v>125</v>
      </c>
      <c r="D12" s="153">
        <f t="shared" si="3"/>
        <v>5.5585304982802191</v>
      </c>
      <c r="E12" s="153">
        <f t="shared" si="3"/>
        <v>6.3888684564192344</v>
      </c>
      <c r="F12" s="153">
        <f t="shared" si="3"/>
        <v>6.5485901678297145</v>
      </c>
      <c r="G12" s="153">
        <f t="shared" si="3"/>
        <v>6.7123049220254565</v>
      </c>
      <c r="H12" s="153">
        <f t="shared" si="3"/>
        <v>6.880112545076094</v>
      </c>
      <c r="I12" s="153">
        <f t="shared" si="3"/>
        <v>8.1327670059861248</v>
      </c>
      <c r="J12" s="153">
        <f t="shared" si="3"/>
        <v>8.6236394806941874</v>
      </c>
      <c r="K12" s="153">
        <f t="shared" si="3"/>
        <v>9.2300554389217631</v>
      </c>
      <c r="L12" s="153">
        <f t="shared" si="3"/>
        <v>9.4072836235357631</v>
      </c>
      <c r="M12" s="153">
        <f t="shared" si="3"/>
        <v>9.6303929285459695</v>
      </c>
      <c r="N12" s="153">
        <f t="shared" si="3"/>
        <v>9.7466985556200694</v>
      </c>
      <c r="O12" s="153">
        <f t="shared" si="3"/>
        <v>9.8050984659575722</v>
      </c>
      <c r="P12" s="153">
        <f t="shared" si="3"/>
        <v>9.872283124340262</v>
      </c>
      <c r="Q12" s="153">
        <f t="shared" si="3"/>
        <v>10.00586838610452</v>
      </c>
      <c r="R12" s="153">
        <f t="shared" si="3"/>
        <v>10.232669534484069</v>
      </c>
      <c r="S12" s="153">
        <f t="shared" si="3"/>
        <v>10.745708308566821</v>
      </c>
      <c r="T12" s="153">
        <f t="shared" si="3"/>
        <v>10.904012077193158</v>
      </c>
      <c r="U12" s="153">
        <f t="shared" si="3"/>
        <v>11.385559361162182</v>
      </c>
      <c r="V12" s="153">
        <f t="shared" si="3"/>
        <v>11.625776379797131</v>
      </c>
      <c r="W12" s="153">
        <f t="shared" si="3"/>
        <v>11.943114634158166</v>
      </c>
      <c r="X12" s="153">
        <f t="shared" si="3"/>
        <v>12.228645604752362</v>
      </c>
      <c r="Y12" s="153">
        <f t="shared" si="3"/>
        <v>12.494698632088891</v>
      </c>
      <c r="Z12" s="153">
        <f t="shared" si="3"/>
        <v>12.758068914120146</v>
      </c>
      <c r="AA12" s="153">
        <f t="shared" si="3"/>
        <v>13.034453602259758</v>
      </c>
      <c r="AB12" s="153">
        <f t="shared" si="3"/>
        <v>13.334362319554044</v>
      </c>
      <c r="AC12" s="153">
        <f t="shared" si="3"/>
        <v>13.6611417409582</v>
      </c>
      <c r="AD12" s="153">
        <f t="shared" si="3"/>
        <v>13.483188139647948</v>
      </c>
      <c r="AE12" s="153">
        <f t="shared" si="3"/>
        <v>13.337393495253407</v>
      </c>
      <c r="AF12" s="153">
        <f t="shared" si="3"/>
        <v>12.834723562145321</v>
      </c>
      <c r="AG12" s="154">
        <f t="shared" si="3"/>
        <v>12.060027354322976</v>
      </c>
    </row>
    <row r="13" spans="1:34" ht="15.6" x14ac:dyDescent="0.3">
      <c r="B13" s="135" t="s">
        <v>213</v>
      </c>
      <c r="C13" s="136" t="s">
        <v>211</v>
      </c>
      <c r="D13" s="148">
        <f>AVERAGE(D10:AG10)</f>
        <v>6.596683056999213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50"/>
    </row>
    <row r="14" spans="1:34" ht="15.6" x14ac:dyDescent="0.3">
      <c r="B14" s="140" t="s">
        <v>213</v>
      </c>
      <c r="C14" s="155" t="s">
        <v>124</v>
      </c>
      <c r="D14" s="156">
        <f t="shared" ref="D14" si="4">AVERAGE(D11:AG11)</f>
        <v>6.9306401367597976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2"/>
    </row>
    <row r="15" spans="1:34" ht="15.6" x14ac:dyDescent="0.3">
      <c r="B15" s="144" t="s">
        <v>213</v>
      </c>
      <c r="C15" s="145" t="s">
        <v>125</v>
      </c>
      <c r="D15" s="153">
        <f>AVERAGE(D12:AG12)</f>
        <v>10.420201241993386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4"/>
    </row>
    <row r="16" spans="1:34" ht="15.6" x14ac:dyDescent="0.3">
      <c r="B16" s="140" t="s">
        <v>214</v>
      </c>
      <c r="C16" s="141" t="s">
        <v>124</v>
      </c>
      <c r="D16" s="142">
        <f>NPV($H$3,D9:AG9)</f>
        <v>7861790.968388048</v>
      </c>
      <c r="E16" s="157" t="s">
        <v>215</v>
      </c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2"/>
    </row>
    <row r="17" spans="2:33" ht="15.6" x14ac:dyDescent="0.3">
      <c r="B17" s="144" t="s">
        <v>214</v>
      </c>
      <c r="C17" s="158" t="s">
        <v>124</v>
      </c>
      <c r="D17" s="159">
        <f>D16*3</f>
        <v>23585372.905164145</v>
      </c>
      <c r="E17" s="160" t="s">
        <v>216</v>
      </c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4"/>
    </row>
    <row r="18" spans="2:33" x14ac:dyDescent="0.3"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workbookViewId="0"/>
  </sheetViews>
  <sheetFormatPr defaultRowHeight="14.4" x14ac:dyDescent="0.3"/>
  <cols>
    <col min="1" max="1" width="13.109375" customWidth="1"/>
    <col min="2" max="2" width="42.5546875" bestFit="1" customWidth="1"/>
    <col min="3" max="3" width="17.44140625" bestFit="1" customWidth="1"/>
    <col min="4" max="4" width="15.109375" bestFit="1" customWidth="1"/>
    <col min="5" max="5" width="11.88671875" bestFit="1" customWidth="1"/>
    <col min="6" max="33" width="11.44140625" bestFit="1" customWidth="1"/>
    <col min="34" max="34" width="15.33203125" customWidth="1"/>
  </cols>
  <sheetData>
    <row r="1" spans="1:33" ht="28.8" x14ac:dyDescent="0.4">
      <c r="A1" s="233" t="s">
        <v>256</v>
      </c>
      <c r="B1" s="128" t="s">
        <v>204</v>
      </c>
      <c r="C1" s="129"/>
      <c r="D1" s="129"/>
      <c r="G1" t="s">
        <v>205</v>
      </c>
      <c r="H1" s="130">
        <v>74</v>
      </c>
      <c r="I1" s="131"/>
    </row>
    <row r="2" spans="1:33" x14ac:dyDescent="0.3">
      <c r="G2" t="s">
        <v>206</v>
      </c>
      <c r="H2" s="91">
        <v>2.5000000000000001E-2</v>
      </c>
    </row>
    <row r="3" spans="1:33" ht="18" x14ac:dyDescent="0.35">
      <c r="B3" s="128"/>
      <c r="G3" t="s">
        <v>207</v>
      </c>
      <c r="H3" s="91">
        <v>7.5399999999999995E-2</v>
      </c>
    </row>
    <row r="4" spans="1:33" x14ac:dyDescent="0.3">
      <c r="B4" s="132"/>
      <c r="C4" t="s">
        <v>142</v>
      </c>
      <c r="D4" s="133">
        <v>2017</v>
      </c>
      <c r="E4" s="133">
        <v>2018</v>
      </c>
      <c r="F4" s="133">
        <v>2019</v>
      </c>
      <c r="G4" s="133">
        <v>2020</v>
      </c>
      <c r="H4" s="133">
        <v>2021</v>
      </c>
      <c r="I4" s="133">
        <v>2022</v>
      </c>
      <c r="J4" s="133">
        <v>2023</v>
      </c>
      <c r="K4" s="133">
        <v>2024</v>
      </c>
      <c r="L4" s="133">
        <v>2025</v>
      </c>
      <c r="M4" s="133">
        <v>2026</v>
      </c>
      <c r="N4" s="133">
        <v>2027</v>
      </c>
      <c r="O4" s="133">
        <v>2028</v>
      </c>
      <c r="P4" s="133">
        <v>2029</v>
      </c>
      <c r="Q4" s="133">
        <v>2030</v>
      </c>
      <c r="R4" s="133">
        <v>2031</v>
      </c>
      <c r="S4" s="133">
        <v>2032</v>
      </c>
      <c r="T4" s="133">
        <v>2033</v>
      </c>
      <c r="U4" s="133">
        <v>2034</v>
      </c>
      <c r="V4" s="133">
        <v>2035</v>
      </c>
      <c r="W4" s="133">
        <v>2036</v>
      </c>
      <c r="X4" s="133">
        <v>2037</v>
      </c>
      <c r="Y4" s="133">
        <v>2038</v>
      </c>
      <c r="Z4" s="133">
        <v>2039</v>
      </c>
      <c r="AA4" s="133">
        <v>2040</v>
      </c>
      <c r="AB4" s="133">
        <v>2041</v>
      </c>
      <c r="AC4" s="133">
        <v>2042</v>
      </c>
      <c r="AD4" s="133">
        <v>2043</v>
      </c>
      <c r="AE4" s="133">
        <v>2044</v>
      </c>
      <c r="AF4" s="133">
        <v>2045</v>
      </c>
      <c r="AG4" s="133">
        <v>2046</v>
      </c>
    </row>
    <row r="5" spans="1:33" x14ac:dyDescent="0.3">
      <c r="B5" s="132"/>
      <c r="C5" t="s">
        <v>208</v>
      </c>
      <c r="D5" s="134">
        <v>1</v>
      </c>
      <c r="E5" s="134">
        <v>2</v>
      </c>
      <c r="F5" s="134">
        <v>3</v>
      </c>
      <c r="G5" s="134">
        <v>4</v>
      </c>
      <c r="H5" s="134">
        <v>5</v>
      </c>
      <c r="I5" s="134">
        <v>6</v>
      </c>
      <c r="J5" s="134">
        <v>7</v>
      </c>
      <c r="K5" s="134">
        <v>8</v>
      </c>
      <c r="L5" s="134">
        <v>9</v>
      </c>
      <c r="M5" s="134">
        <v>10</v>
      </c>
      <c r="N5" s="134">
        <v>11</v>
      </c>
      <c r="O5" s="134">
        <v>12</v>
      </c>
      <c r="P5" s="134">
        <v>13</v>
      </c>
      <c r="Q5" s="134">
        <v>14</v>
      </c>
      <c r="R5" s="134">
        <v>15</v>
      </c>
      <c r="S5" s="134">
        <v>16</v>
      </c>
      <c r="T5" s="134">
        <v>17</v>
      </c>
      <c r="U5" s="134">
        <v>18</v>
      </c>
      <c r="V5" s="134">
        <v>19</v>
      </c>
      <c r="W5" s="134">
        <v>20</v>
      </c>
      <c r="X5" s="134">
        <v>21</v>
      </c>
      <c r="Y5" s="134">
        <v>22</v>
      </c>
      <c r="Z5" s="134">
        <v>23</v>
      </c>
      <c r="AA5" s="134">
        <v>24</v>
      </c>
      <c r="AB5" s="134">
        <v>25</v>
      </c>
      <c r="AC5" s="134">
        <v>26</v>
      </c>
      <c r="AD5" s="134">
        <v>27</v>
      </c>
      <c r="AE5" s="134">
        <v>28</v>
      </c>
      <c r="AF5" s="134">
        <v>29</v>
      </c>
      <c r="AG5" s="134">
        <v>30</v>
      </c>
    </row>
    <row r="7" spans="1:33" ht="21" x14ac:dyDescent="0.4">
      <c r="B7" s="210" t="s">
        <v>231</v>
      </c>
      <c r="C7" s="168"/>
      <c r="D7" s="168"/>
    </row>
    <row r="8" spans="1:33" ht="15.6" x14ac:dyDescent="0.3">
      <c r="B8" s="135" t="s">
        <v>120</v>
      </c>
      <c r="C8" s="136" t="s">
        <v>211</v>
      </c>
      <c r="D8" s="137">
        <v>381961.96282490273</v>
      </c>
      <c r="E8" s="137">
        <v>428311.96282490273</v>
      </c>
      <c r="F8" s="137">
        <v>428311.96282490273</v>
      </c>
      <c r="G8" s="137">
        <v>380577.21282490273</v>
      </c>
      <c r="H8" s="137">
        <v>332842.46282490273</v>
      </c>
      <c r="I8" s="137">
        <v>398476.10672248766</v>
      </c>
      <c r="J8" s="137">
        <v>415514.76082575903</v>
      </c>
      <c r="K8" s="137">
        <v>438107.83719768969</v>
      </c>
      <c r="L8" s="137">
        <v>455089.19747826247</v>
      </c>
      <c r="M8" s="137">
        <v>434424.91496161174</v>
      </c>
      <c r="N8" s="137">
        <v>427744.07584268227</v>
      </c>
      <c r="O8" s="137">
        <v>418041.27826822078</v>
      </c>
      <c r="P8" s="137">
        <v>428949.38838925934</v>
      </c>
      <c r="Q8" s="137">
        <v>403305.47953982966</v>
      </c>
      <c r="R8" s="137">
        <v>402170.12806680624</v>
      </c>
      <c r="S8" s="137">
        <v>414374.356099025</v>
      </c>
      <c r="T8" s="137">
        <v>429266.87131855439</v>
      </c>
      <c r="U8" s="137">
        <v>418702.92742706049</v>
      </c>
      <c r="V8" s="137">
        <v>416745.75848252582</v>
      </c>
      <c r="W8" s="137">
        <v>417893.16632333247</v>
      </c>
      <c r="X8" s="137">
        <v>437346.03699968843</v>
      </c>
      <c r="Y8" s="137">
        <v>415723.30894264579</v>
      </c>
      <c r="Z8" s="137">
        <v>413767.59107481316</v>
      </c>
      <c r="AA8" s="137">
        <v>412109.97245243064</v>
      </c>
      <c r="AB8" s="137">
        <v>431123.99131147144</v>
      </c>
      <c r="AC8" s="137">
        <v>410880.11737104441</v>
      </c>
      <c r="AD8" s="137">
        <v>392095.1585079201</v>
      </c>
      <c r="AE8" s="137">
        <v>375059.8543299319</v>
      </c>
      <c r="AF8" s="137">
        <v>366282.38538378035</v>
      </c>
      <c r="AG8" s="138">
        <v>309494.40909690538</v>
      </c>
    </row>
    <row r="9" spans="1:33" ht="15.6" x14ac:dyDescent="0.3">
      <c r="B9" s="140" t="s">
        <v>210</v>
      </c>
      <c r="C9" s="141" t="s">
        <v>124</v>
      </c>
      <c r="D9" s="142">
        <f t="shared" ref="D9:AG9" si="0">D8*(1+$H$2)^2</f>
        <v>401298.78719291341</v>
      </c>
      <c r="E9" s="142">
        <f t="shared" si="0"/>
        <v>449995.25594291341</v>
      </c>
      <c r="F9" s="142">
        <f t="shared" si="0"/>
        <v>449995.25594291341</v>
      </c>
      <c r="G9" s="142">
        <f t="shared" si="0"/>
        <v>399843.93422416341</v>
      </c>
      <c r="H9" s="142">
        <f t="shared" si="0"/>
        <v>349692.61250541342</v>
      </c>
      <c r="I9" s="142">
        <f t="shared" si="0"/>
        <v>418648.95962531358</v>
      </c>
      <c r="J9" s="142">
        <f t="shared" si="0"/>
        <v>436550.19559256308</v>
      </c>
      <c r="K9" s="142">
        <f t="shared" si="0"/>
        <v>460287.04645582271</v>
      </c>
      <c r="L9" s="142">
        <f t="shared" si="0"/>
        <v>478128.08810059947</v>
      </c>
      <c r="M9" s="142">
        <f t="shared" si="0"/>
        <v>456417.67628154327</v>
      </c>
      <c r="N9" s="142">
        <f t="shared" si="0"/>
        <v>449398.61968221801</v>
      </c>
      <c r="O9" s="142">
        <f t="shared" si="0"/>
        <v>439204.6179805494</v>
      </c>
      <c r="P9" s="142">
        <f t="shared" si="0"/>
        <v>450664.95117646555</v>
      </c>
      <c r="Q9" s="142">
        <f t="shared" si="0"/>
        <v>423722.81944153347</v>
      </c>
      <c r="R9" s="142">
        <f t="shared" si="0"/>
        <v>422529.99080018827</v>
      </c>
      <c r="S9" s="142">
        <f t="shared" si="0"/>
        <v>435352.05787653808</v>
      </c>
      <c r="T9" s="142">
        <f t="shared" si="0"/>
        <v>450998.50667905615</v>
      </c>
      <c r="U9" s="142">
        <f t="shared" si="0"/>
        <v>439899.76312805538</v>
      </c>
      <c r="V9" s="142">
        <f t="shared" si="0"/>
        <v>437843.51250570366</v>
      </c>
      <c r="W9" s="142">
        <f t="shared" si="0"/>
        <v>439049.00786845112</v>
      </c>
      <c r="X9" s="142">
        <f t="shared" si="0"/>
        <v>459486.68012279761</v>
      </c>
      <c r="Y9" s="142">
        <f t="shared" si="0"/>
        <v>436769.3014578672</v>
      </c>
      <c r="Z9" s="142">
        <f t="shared" si="0"/>
        <v>434714.57537297555</v>
      </c>
      <c r="AA9" s="142">
        <f t="shared" si="0"/>
        <v>432973.0398078349</v>
      </c>
      <c r="AB9" s="142">
        <f t="shared" si="0"/>
        <v>452949.64337161463</v>
      </c>
      <c r="AC9" s="142">
        <f t="shared" si="0"/>
        <v>431680.9233129535</v>
      </c>
      <c r="AD9" s="142">
        <f t="shared" si="0"/>
        <v>411944.97590738354</v>
      </c>
      <c r="AE9" s="142">
        <f t="shared" si="0"/>
        <v>394047.25945538469</v>
      </c>
      <c r="AF9" s="142">
        <f t="shared" si="0"/>
        <v>384825.4311438342</v>
      </c>
      <c r="AG9" s="143">
        <f t="shared" si="0"/>
        <v>325162.56355743617</v>
      </c>
    </row>
    <row r="10" spans="1:33" ht="15.6" x14ac:dyDescent="0.3">
      <c r="B10" s="144" t="s">
        <v>210</v>
      </c>
      <c r="C10" s="145" t="s">
        <v>125</v>
      </c>
      <c r="D10" s="146">
        <f>D8*(1+$H$2)^(D$4-2014)</f>
        <v>411331.25687273621</v>
      </c>
      <c r="E10" s="146">
        <f t="shared" ref="E10:AG10" si="1">E8*(1+$H$2)^(E$4-2014)</f>
        <v>472776.26577502332</v>
      </c>
      <c r="F10" s="146">
        <f t="shared" si="1"/>
        <v>484595.67241939885</v>
      </c>
      <c r="G10" s="146">
        <f t="shared" si="1"/>
        <v>441352.88883484603</v>
      </c>
      <c r="H10" s="146">
        <f t="shared" si="1"/>
        <v>395645.09377580351</v>
      </c>
      <c r="I10" s="146">
        <f t="shared" si="1"/>
        <v>485504.44301915017</v>
      </c>
      <c r="J10" s="146">
        <f t="shared" si="1"/>
        <v>518920.99826195132</v>
      </c>
      <c r="K10" s="146">
        <f t="shared" si="1"/>
        <v>560815.07108805643</v>
      </c>
      <c r="L10" s="146">
        <f t="shared" si="1"/>
        <v>597116.46412071376</v>
      </c>
      <c r="M10" s="146">
        <f t="shared" si="1"/>
        <v>584253.21310601977</v>
      </c>
      <c r="N10" s="146">
        <f t="shared" si="1"/>
        <v>589649.9329193437</v>
      </c>
      <c r="O10" s="146">
        <f t="shared" si="1"/>
        <v>590681.38227940537</v>
      </c>
      <c r="P10" s="146">
        <f t="shared" si="1"/>
        <v>621246.61272465019</v>
      </c>
      <c r="Q10" s="146">
        <f t="shared" si="1"/>
        <v>598709.25122008089</v>
      </c>
      <c r="R10" s="146">
        <f t="shared" si="1"/>
        <v>611949.41096637608</v>
      </c>
      <c r="S10" s="146">
        <f t="shared" si="1"/>
        <v>646282.57688386354</v>
      </c>
      <c r="T10" s="146">
        <f t="shared" si="1"/>
        <v>686247.5635264439</v>
      </c>
      <c r="U10" s="146">
        <f t="shared" si="1"/>
        <v>686093.50047969772</v>
      </c>
      <c r="V10" s="146">
        <f t="shared" si="1"/>
        <v>699958.61255252629</v>
      </c>
      <c r="W10" s="146">
        <f t="shared" si="1"/>
        <v>719432.92238643125</v>
      </c>
      <c r="X10" s="146">
        <f t="shared" si="1"/>
        <v>771745.48884726199</v>
      </c>
      <c r="Y10" s="146">
        <f t="shared" si="1"/>
        <v>751929.53673090297</v>
      </c>
      <c r="Z10" s="146">
        <f t="shared" si="1"/>
        <v>767101.98355012399</v>
      </c>
      <c r="AA10" s="146">
        <f t="shared" si="1"/>
        <v>783129.57257008611</v>
      </c>
      <c r="AB10" s="146">
        <f t="shared" si="1"/>
        <v>839743.31816592906</v>
      </c>
      <c r="AC10" s="146">
        <f t="shared" si="1"/>
        <v>820320.10763766582</v>
      </c>
      <c r="AD10" s="146">
        <f t="shared" si="1"/>
        <v>802386.43161087623</v>
      </c>
      <c r="AE10" s="146">
        <f t="shared" si="1"/>
        <v>786713.39065760328</v>
      </c>
      <c r="AF10" s="146">
        <f t="shared" si="1"/>
        <v>787509.60777900286</v>
      </c>
      <c r="AG10" s="147">
        <f t="shared" si="1"/>
        <v>682050.45124919957</v>
      </c>
    </row>
    <row r="11" spans="1:33" ht="15.6" x14ac:dyDescent="0.3">
      <c r="B11" s="135" t="s">
        <v>212</v>
      </c>
      <c r="C11" s="136" t="s">
        <v>211</v>
      </c>
      <c r="D11" s="148">
        <f>D8/$H$1/1000</f>
        <v>5.1616481462824693</v>
      </c>
      <c r="E11" s="148">
        <f t="shared" ref="E11:AG11" si="2">E8/$H$1/1000</f>
        <v>5.7879994976338205</v>
      </c>
      <c r="F11" s="148">
        <f t="shared" si="2"/>
        <v>5.7879994976338205</v>
      </c>
      <c r="G11" s="149">
        <f t="shared" si="2"/>
        <v>5.1429353084446312</v>
      </c>
      <c r="H11" s="148">
        <f t="shared" si="2"/>
        <v>4.4978711192554419</v>
      </c>
      <c r="I11" s="148">
        <f t="shared" si="2"/>
        <v>5.3848122530065901</v>
      </c>
      <c r="J11" s="148">
        <f t="shared" si="2"/>
        <v>5.6150643354832299</v>
      </c>
      <c r="K11" s="148">
        <f t="shared" si="2"/>
        <v>5.9203761783471585</v>
      </c>
      <c r="L11" s="148">
        <f t="shared" si="2"/>
        <v>6.1498540199765204</v>
      </c>
      <c r="M11" s="148">
        <f t="shared" si="2"/>
        <v>5.8706069589406988</v>
      </c>
      <c r="N11" s="148">
        <f t="shared" si="2"/>
        <v>5.7803253492254365</v>
      </c>
      <c r="O11" s="148">
        <f t="shared" si="2"/>
        <v>5.6492064630840639</v>
      </c>
      <c r="P11" s="148">
        <f t="shared" si="2"/>
        <v>5.7966133566116129</v>
      </c>
      <c r="Q11" s="148">
        <f t="shared" si="2"/>
        <v>5.4500740478355354</v>
      </c>
      <c r="R11" s="148">
        <f t="shared" si="2"/>
        <v>5.4347314603622463</v>
      </c>
      <c r="S11" s="148">
        <f t="shared" si="2"/>
        <v>5.5996534607976356</v>
      </c>
      <c r="T11" s="148">
        <f t="shared" si="2"/>
        <v>5.8009036664669509</v>
      </c>
      <c r="U11" s="148">
        <f t="shared" si="2"/>
        <v>5.6581476679332496</v>
      </c>
      <c r="V11" s="148">
        <f t="shared" si="2"/>
        <v>5.6316994389530519</v>
      </c>
      <c r="W11" s="148">
        <f t="shared" si="2"/>
        <v>5.6472049503153041</v>
      </c>
      <c r="X11" s="148">
        <f t="shared" si="2"/>
        <v>5.910081581076871</v>
      </c>
      <c r="Y11" s="148">
        <f t="shared" si="2"/>
        <v>5.6178825532789967</v>
      </c>
      <c r="Z11" s="148">
        <f t="shared" si="2"/>
        <v>5.5914539334434208</v>
      </c>
      <c r="AA11" s="148">
        <f t="shared" si="2"/>
        <v>5.5690536817896037</v>
      </c>
      <c r="AB11" s="148">
        <f t="shared" si="2"/>
        <v>5.8259998825874515</v>
      </c>
      <c r="AC11" s="148">
        <f t="shared" si="2"/>
        <v>5.5524340185276273</v>
      </c>
      <c r="AD11" s="148">
        <f t="shared" si="2"/>
        <v>5.2985832230800014</v>
      </c>
      <c r="AE11" s="148">
        <f t="shared" si="2"/>
        <v>5.0683764098639452</v>
      </c>
      <c r="AF11" s="148">
        <f t="shared" si="2"/>
        <v>4.9497619646456803</v>
      </c>
      <c r="AG11" s="150">
        <f t="shared" si="2"/>
        <v>4.1823568796879105</v>
      </c>
    </row>
    <row r="12" spans="1:33" ht="15.6" x14ac:dyDescent="0.3">
      <c r="B12" s="140" t="s">
        <v>212</v>
      </c>
      <c r="C12" s="141" t="s">
        <v>124</v>
      </c>
      <c r="D12" s="151">
        <f t="shared" ref="D12:AG13" si="3">D9/$H$1/1000</f>
        <v>5.4229565836880189</v>
      </c>
      <c r="E12" s="151">
        <f t="shared" si="3"/>
        <v>6.0810169722015326</v>
      </c>
      <c r="F12" s="151">
        <f t="shared" si="3"/>
        <v>6.0810169722015326</v>
      </c>
      <c r="G12" s="151">
        <f t="shared" si="3"/>
        <v>5.40329640843464</v>
      </c>
      <c r="H12" s="151">
        <f t="shared" si="3"/>
        <v>4.7255758446677492</v>
      </c>
      <c r="I12" s="151">
        <f t="shared" si="3"/>
        <v>5.657418373315048</v>
      </c>
      <c r="J12" s="151">
        <f t="shared" si="3"/>
        <v>5.8993269674670685</v>
      </c>
      <c r="K12" s="151">
        <f t="shared" si="3"/>
        <v>6.2200952223759822</v>
      </c>
      <c r="L12" s="151">
        <f t="shared" si="3"/>
        <v>6.4611903797378307</v>
      </c>
      <c r="M12" s="151">
        <f t="shared" si="3"/>
        <v>6.167806436237071</v>
      </c>
      <c r="N12" s="151">
        <f t="shared" si="3"/>
        <v>6.0729543200299734</v>
      </c>
      <c r="O12" s="151">
        <f t="shared" si="3"/>
        <v>5.9351975402776942</v>
      </c>
      <c r="P12" s="151">
        <f t="shared" si="3"/>
        <v>6.0900669077900744</v>
      </c>
      <c r="Q12" s="151">
        <f t="shared" si="3"/>
        <v>5.7259840465072092</v>
      </c>
      <c r="R12" s="151">
        <f t="shared" si="3"/>
        <v>5.7098647405430851</v>
      </c>
      <c r="S12" s="151">
        <f t="shared" si="3"/>
        <v>5.8831359172505149</v>
      </c>
      <c r="T12" s="151">
        <f t="shared" si="3"/>
        <v>6.0945744145818397</v>
      </c>
      <c r="U12" s="151">
        <f t="shared" si="3"/>
        <v>5.9445913936223693</v>
      </c>
      <c r="V12" s="151">
        <f t="shared" si="3"/>
        <v>5.9168042230500495</v>
      </c>
      <c r="W12" s="151">
        <f t="shared" si="3"/>
        <v>5.9330947009250146</v>
      </c>
      <c r="X12" s="151">
        <f t="shared" si="3"/>
        <v>6.2092794611188866</v>
      </c>
      <c r="Y12" s="151">
        <f t="shared" si="3"/>
        <v>5.9022878575387461</v>
      </c>
      <c r="Z12" s="151">
        <f t="shared" si="3"/>
        <v>5.8745212888239937</v>
      </c>
      <c r="AA12" s="151">
        <f t="shared" si="3"/>
        <v>5.8509870244302009</v>
      </c>
      <c r="AB12" s="151">
        <f t="shared" si="3"/>
        <v>6.1209411266434408</v>
      </c>
      <c r="AC12" s="151">
        <f t="shared" si="3"/>
        <v>5.8335259907155876</v>
      </c>
      <c r="AD12" s="151">
        <f t="shared" si="3"/>
        <v>5.5668239987484265</v>
      </c>
      <c r="AE12" s="151">
        <f t="shared" si="3"/>
        <v>5.3249629656133068</v>
      </c>
      <c r="AF12" s="151">
        <f t="shared" si="3"/>
        <v>5.2003436641058682</v>
      </c>
      <c r="AG12" s="152">
        <f t="shared" si="3"/>
        <v>4.3940886967221102</v>
      </c>
    </row>
    <row r="13" spans="1:33" ht="15.6" x14ac:dyDescent="0.3">
      <c r="B13" s="144" t="s">
        <v>212</v>
      </c>
      <c r="C13" s="145" t="s">
        <v>125</v>
      </c>
      <c r="D13" s="153">
        <f t="shared" si="3"/>
        <v>5.5585304982802191</v>
      </c>
      <c r="E13" s="153">
        <f t="shared" si="3"/>
        <v>6.3888684564192344</v>
      </c>
      <c r="F13" s="153">
        <f t="shared" si="3"/>
        <v>6.5485901678297145</v>
      </c>
      <c r="G13" s="153">
        <f t="shared" si="3"/>
        <v>5.9642282274979195</v>
      </c>
      <c r="H13" s="153">
        <f t="shared" si="3"/>
        <v>5.3465553212946428</v>
      </c>
      <c r="I13" s="153">
        <f t="shared" si="3"/>
        <v>6.5608708516101375</v>
      </c>
      <c r="J13" s="153">
        <f t="shared" si="3"/>
        <v>7.0124459224588014</v>
      </c>
      <c r="K13" s="153">
        <f t="shared" si="3"/>
        <v>7.5785820417304919</v>
      </c>
      <c r="L13" s="153">
        <f t="shared" si="3"/>
        <v>8.0691414070366729</v>
      </c>
      <c r="M13" s="153">
        <f t="shared" si="3"/>
        <v>7.8953136906218884</v>
      </c>
      <c r="N13" s="153">
        <f t="shared" si="3"/>
        <v>7.9682423367478874</v>
      </c>
      <c r="O13" s="153">
        <f t="shared" si="3"/>
        <v>7.9821808416135864</v>
      </c>
      <c r="P13" s="153">
        <f t="shared" si="3"/>
        <v>8.3952244962790576</v>
      </c>
      <c r="Q13" s="153">
        <f t="shared" si="3"/>
        <v>8.0906655570281192</v>
      </c>
      <c r="R13" s="153">
        <f t="shared" si="3"/>
        <v>8.2695866346807581</v>
      </c>
      <c r="S13" s="153">
        <f t="shared" si="3"/>
        <v>8.7335483362684254</v>
      </c>
      <c r="T13" s="153">
        <f t="shared" si="3"/>
        <v>9.2736157233303231</v>
      </c>
      <c r="U13" s="153">
        <f t="shared" si="3"/>
        <v>9.2715337902661847</v>
      </c>
      <c r="V13" s="153">
        <f t="shared" si="3"/>
        <v>9.458900169628734</v>
      </c>
      <c r="W13" s="153">
        <f t="shared" si="3"/>
        <v>9.7220665187355575</v>
      </c>
      <c r="X13" s="153">
        <f t="shared" si="3"/>
        <v>10.428993092530566</v>
      </c>
      <c r="Y13" s="153">
        <f t="shared" si="3"/>
        <v>10.161209955823013</v>
      </c>
      <c r="Z13" s="153">
        <f t="shared" si="3"/>
        <v>10.366243020947621</v>
      </c>
      <c r="AA13" s="153">
        <f t="shared" si="3"/>
        <v>10.582832061757921</v>
      </c>
      <c r="AB13" s="153">
        <f t="shared" si="3"/>
        <v>11.34788267791796</v>
      </c>
      <c r="AC13" s="153">
        <f t="shared" si="3"/>
        <v>11.085406859968458</v>
      </c>
      <c r="AD13" s="153">
        <f t="shared" si="3"/>
        <v>10.843059886633462</v>
      </c>
      <c r="AE13" s="153">
        <f t="shared" si="3"/>
        <v>10.631262035913558</v>
      </c>
      <c r="AF13" s="153">
        <f t="shared" si="3"/>
        <v>10.642021726743282</v>
      </c>
      <c r="AG13" s="154">
        <f t="shared" si="3"/>
        <v>9.2168979898540471</v>
      </c>
    </row>
    <row r="14" spans="1:33" ht="15.6" x14ac:dyDescent="0.3">
      <c r="B14" s="135" t="s">
        <v>213</v>
      </c>
      <c r="C14" s="136" t="s">
        <v>211</v>
      </c>
      <c r="D14" s="148">
        <f>AVERAGE(D11:AG11)</f>
        <v>5.5111237101523667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50"/>
    </row>
    <row r="15" spans="1:33" ht="15.6" x14ac:dyDescent="0.3">
      <c r="B15" s="140" t="s">
        <v>213</v>
      </c>
      <c r="C15" s="155" t="s">
        <v>124</v>
      </c>
      <c r="D15" s="156">
        <f t="shared" ref="D15:D16" si="4">AVERAGE(D12:AG12)</f>
        <v>5.7901243479788294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2"/>
    </row>
    <row r="16" spans="1:33" ht="15.6" x14ac:dyDescent="0.3">
      <c r="B16" s="144" t="s">
        <v>213</v>
      </c>
      <c r="C16" s="145" t="s">
        <v>125</v>
      </c>
      <c r="D16" s="153">
        <f t="shared" si="4"/>
        <v>8.6464833432482742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4"/>
    </row>
    <row r="17" spans="2:33" ht="15.6" x14ac:dyDescent="0.3">
      <c r="B17" s="140" t="s">
        <v>214</v>
      </c>
      <c r="C17" s="141" t="s">
        <v>124</v>
      </c>
      <c r="D17" s="142">
        <f>NPV($H$3,D10:AG10)</f>
        <v>6673586.4969569575</v>
      </c>
      <c r="E17" s="157" t="s">
        <v>215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2"/>
    </row>
    <row r="18" spans="2:33" ht="15.6" x14ac:dyDescent="0.3">
      <c r="B18" s="144" t="s">
        <v>214</v>
      </c>
      <c r="C18" s="158" t="s">
        <v>124</v>
      </c>
      <c r="D18" s="159">
        <f>D17*3</f>
        <v>20020759.490870871</v>
      </c>
      <c r="E18" s="160" t="s">
        <v>216</v>
      </c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workbookViewId="0">
      <selection activeCell="A2" sqref="A2"/>
    </sheetView>
  </sheetViews>
  <sheetFormatPr defaultRowHeight="14.4" x14ac:dyDescent="0.3"/>
  <cols>
    <col min="1" max="1" width="49" customWidth="1"/>
    <col min="2" max="2" width="12.5546875" customWidth="1"/>
    <col min="3" max="3" width="14.44140625" customWidth="1"/>
    <col min="4" max="4" width="15.109375" bestFit="1" customWidth="1"/>
    <col min="5" max="5" width="11.88671875" bestFit="1" customWidth="1"/>
    <col min="6" max="33" width="11.44140625" bestFit="1" customWidth="1"/>
    <col min="34" max="34" width="14.109375" customWidth="1"/>
  </cols>
  <sheetData>
    <row r="1" spans="1:34" ht="21" x14ac:dyDescent="0.4">
      <c r="A1" s="162" t="s">
        <v>217</v>
      </c>
      <c r="B1" s="9" t="s">
        <v>205</v>
      </c>
      <c r="C1" s="163">
        <v>74</v>
      </c>
      <c r="D1" s="129"/>
      <c r="E1" s="59" t="s">
        <v>218</v>
      </c>
      <c r="I1" s="131"/>
    </row>
    <row r="2" spans="1:34" ht="30.6" customHeight="1" x14ac:dyDescent="0.3">
      <c r="A2" s="233" t="s">
        <v>257</v>
      </c>
      <c r="B2" s="9" t="s">
        <v>206</v>
      </c>
      <c r="C2" s="164">
        <v>2.5000000000000001E-2</v>
      </c>
    </row>
    <row r="3" spans="1:34" ht="18" x14ac:dyDescent="0.35">
      <c r="A3" s="128"/>
      <c r="B3" s="9" t="s">
        <v>207</v>
      </c>
      <c r="C3" s="164">
        <v>7.51E-2</v>
      </c>
    </row>
    <row r="4" spans="1:34" x14ac:dyDescent="0.3">
      <c r="A4" s="132"/>
      <c r="B4" s="165" t="s">
        <v>142</v>
      </c>
      <c r="C4" s="166" t="s">
        <v>219</v>
      </c>
      <c r="D4" s="133">
        <f>VALUE(RIGHT($C$4,4))+1</f>
        <v>2017</v>
      </c>
      <c r="E4" s="133">
        <f>D4+1</f>
        <v>2018</v>
      </c>
      <c r="F4" s="133">
        <f t="shared" ref="F4:AG4" si="0">E4+1</f>
        <v>2019</v>
      </c>
      <c r="G4" s="133">
        <f t="shared" si="0"/>
        <v>2020</v>
      </c>
      <c r="H4" s="133">
        <f t="shared" si="0"/>
        <v>2021</v>
      </c>
      <c r="I4" s="133">
        <f t="shared" si="0"/>
        <v>2022</v>
      </c>
      <c r="J4" s="133">
        <f t="shared" si="0"/>
        <v>2023</v>
      </c>
      <c r="K4" s="133">
        <f t="shared" si="0"/>
        <v>2024</v>
      </c>
      <c r="L4" s="133">
        <f t="shared" si="0"/>
        <v>2025</v>
      </c>
      <c r="M4" s="133">
        <f t="shared" si="0"/>
        <v>2026</v>
      </c>
      <c r="N4" s="133">
        <f t="shared" si="0"/>
        <v>2027</v>
      </c>
      <c r="O4" s="133">
        <f t="shared" si="0"/>
        <v>2028</v>
      </c>
      <c r="P4" s="133">
        <f t="shared" si="0"/>
        <v>2029</v>
      </c>
      <c r="Q4" s="133">
        <f t="shared" si="0"/>
        <v>2030</v>
      </c>
      <c r="R4" s="133">
        <f t="shared" si="0"/>
        <v>2031</v>
      </c>
      <c r="S4" s="133">
        <f t="shared" si="0"/>
        <v>2032</v>
      </c>
      <c r="T4" s="133">
        <f t="shared" si="0"/>
        <v>2033</v>
      </c>
      <c r="U4" s="133">
        <f t="shared" si="0"/>
        <v>2034</v>
      </c>
      <c r="V4" s="133">
        <f t="shared" si="0"/>
        <v>2035</v>
      </c>
      <c r="W4" s="133">
        <f t="shared" si="0"/>
        <v>2036</v>
      </c>
      <c r="X4" s="133">
        <f t="shared" si="0"/>
        <v>2037</v>
      </c>
      <c r="Y4" s="133">
        <f t="shared" si="0"/>
        <v>2038</v>
      </c>
      <c r="Z4" s="133">
        <f t="shared" si="0"/>
        <v>2039</v>
      </c>
      <c r="AA4" s="133">
        <f t="shared" si="0"/>
        <v>2040</v>
      </c>
      <c r="AB4" s="133">
        <f t="shared" si="0"/>
        <v>2041</v>
      </c>
      <c r="AC4" s="133">
        <f t="shared" si="0"/>
        <v>2042</v>
      </c>
      <c r="AD4" s="133">
        <f t="shared" si="0"/>
        <v>2043</v>
      </c>
      <c r="AE4" s="133">
        <f t="shared" si="0"/>
        <v>2044</v>
      </c>
      <c r="AF4" s="133">
        <f t="shared" si="0"/>
        <v>2045</v>
      </c>
      <c r="AG4" s="133">
        <f t="shared" si="0"/>
        <v>2046</v>
      </c>
    </row>
    <row r="5" spans="1:34" x14ac:dyDescent="0.3">
      <c r="A5" s="132"/>
      <c r="B5" s="165" t="s">
        <v>208</v>
      </c>
      <c r="C5" s="134">
        <v>0</v>
      </c>
      <c r="D5" s="134">
        <f>C5+1</f>
        <v>1</v>
      </c>
      <c r="E5" s="134">
        <f t="shared" ref="E5:AG5" si="1">D5+1</f>
        <v>2</v>
      </c>
      <c r="F5" s="134">
        <f t="shared" si="1"/>
        <v>3</v>
      </c>
      <c r="G5" s="134">
        <f t="shared" si="1"/>
        <v>4</v>
      </c>
      <c r="H5" s="134">
        <f t="shared" si="1"/>
        <v>5</v>
      </c>
      <c r="I5" s="134">
        <f t="shared" si="1"/>
        <v>6</v>
      </c>
      <c r="J5" s="134">
        <f t="shared" si="1"/>
        <v>7</v>
      </c>
      <c r="K5" s="134">
        <f t="shared" si="1"/>
        <v>8</v>
      </c>
      <c r="L5" s="134">
        <f t="shared" si="1"/>
        <v>9</v>
      </c>
      <c r="M5" s="134">
        <f t="shared" si="1"/>
        <v>10</v>
      </c>
      <c r="N5" s="134">
        <f t="shared" si="1"/>
        <v>11</v>
      </c>
      <c r="O5" s="134">
        <f t="shared" si="1"/>
        <v>12</v>
      </c>
      <c r="P5" s="134">
        <f t="shared" si="1"/>
        <v>13</v>
      </c>
      <c r="Q5" s="134">
        <f t="shared" si="1"/>
        <v>14</v>
      </c>
      <c r="R5" s="134">
        <f t="shared" si="1"/>
        <v>15</v>
      </c>
      <c r="S5" s="134">
        <f t="shared" si="1"/>
        <v>16</v>
      </c>
      <c r="T5" s="134">
        <f t="shared" si="1"/>
        <v>17</v>
      </c>
      <c r="U5" s="134">
        <f t="shared" si="1"/>
        <v>18</v>
      </c>
      <c r="V5" s="134">
        <f t="shared" si="1"/>
        <v>19</v>
      </c>
      <c r="W5" s="134">
        <f t="shared" si="1"/>
        <v>20</v>
      </c>
      <c r="X5" s="134">
        <f t="shared" si="1"/>
        <v>21</v>
      </c>
      <c r="Y5" s="134">
        <f t="shared" si="1"/>
        <v>22</v>
      </c>
      <c r="Z5" s="134">
        <f t="shared" si="1"/>
        <v>23</v>
      </c>
      <c r="AA5" s="134">
        <f t="shared" si="1"/>
        <v>24</v>
      </c>
      <c r="AB5" s="134">
        <f t="shared" si="1"/>
        <v>25</v>
      </c>
      <c r="AC5" s="134">
        <f t="shared" si="1"/>
        <v>26</v>
      </c>
      <c r="AD5" s="134">
        <f t="shared" si="1"/>
        <v>27</v>
      </c>
      <c r="AE5" s="134">
        <f t="shared" si="1"/>
        <v>28</v>
      </c>
      <c r="AF5" s="134">
        <f t="shared" si="1"/>
        <v>29</v>
      </c>
      <c r="AG5" s="134">
        <f t="shared" si="1"/>
        <v>30</v>
      </c>
      <c r="AH5" s="97" t="s">
        <v>132</v>
      </c>
    </row>
    <row r="6" spans="1:34" ht="21" x14ac:dyDescent="0.4">
      <c r="A6" s="167" t="s">
        <v>120</v>
      </c>
      <c r="B6" s="168"/>
      <c r="C6" s="168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</row>
    <row r="7" spans="1:34" ht="15.6" x14ac:dyDescent="0.3">
      <c r="A7" s="135" t="s">
        <v>210</v>
      </c>
      <c r="B7" s="169">
        <v>2015</v>
      </c>
      <c r="C7" s="137"/>
      <c r="D7" s="170">
        <v>277464.58453955903</v>
      </c>
      <c r="E7" s="170">
        <v>318014.58453955903</v>
      </c>
      <c r="F7" s="170">
        <v>318014.58453955903</v>
      </c>
      <c r="G7" s="170">
        <v>318014.58453955903</v>
      </c>
      <c r="H7" s="170">
        <v>318014.58453955903</v>
      </c>
      <c r="I7" s="170">
        <v>377403.02129211841</v>
      </c>
      <c r="J7" s="170">
        <v>385355.24561869894</v>
      </c>
      <c r="K7" s="170">
        <v>387792.15451475559</v>
      </c>
      <c r="L7" s="170">
        <v>384762.44685837266</v>
      </c>
      <c r="M7" s="170">
        <v>377955.51499524963</v>
      </c>
      <c r="N7" s="170">
        <v>370137.73502567981</v>
      </c>
      <c r="O7" s="170">
        <v>364049.07216408232</v>
      </c>
      <c r="P7" s="170">
        <v>361331.26611425285</v>
      </c>
      <c r="Q7" s="170">
        <v>362067.45895934512</v>
      </c>
      <c r="R7" s="170">
        <v>365103.05711271329</v>
      </c>
      <c r="S7" s="170">
        <v>368822.54628603277</v>
      </c>
      <c r="T7" s="170">
        <v>371874.84438236896</v>
      </c>
      <c r="U7" s="170">
        <v>378538.01921188482</v>
      </c>
      <c r="V7" s="170">
        <v>373725.0493572331</v>
      </c>
      <c r="W7" s="170">
        <v>372793.67165753641</v>
      </c>
      <c r="X7" s="170">
        <v>371308.29474749276</v>
      </c>
      <c r="Y7" s="170">
        <v>369829.93196782516</v>
      </c>
      <c r="Z7" s="170">
        <v>368765.43203005008</v>
      </c>
      <c r="AA7" s="170">
        <v>368291.34151611564</v>
      </c>
      <c r="AB7" s="170">
        <v>368355.21525163832</v>
      </c>
      <c r="AC7" s="170">
        <v>368739.42339894269</v>
      </c>
      <c r="AD7" s="170">
        <v>354540.93721202842</v>
      </c>
      <c r="AE7" s="170">
        <v>339610.79335959372</v>
      </c>
      <c r="AF7" s="170">
        <v>315631.08553652227</v>
      </c>
      <c r="AG7" s="171">
        <v>285823.57769413816</v>
      </c>
      <c r="AH7" s="172">
        <f>SUM(D7:AG7)</f>
        <v>10662130.058962462</v>
      </c>
    </row>
    <row r="8" spans="1:34" ht="15.6" x14ac:dyDescent="0.3">
      <c r="A8" s="140" t="s">
        <v>210</v>
      </c>
      <c r="B8" s="173">
        <f>VALUE(RIGHT($C$4,4))</f>
        <v>2016</v>
      </c>
      <c r="C8" s="142"/>
      <c r="D8" s="142">
        <f>D7*(1+$C$2)^($B8-$B7)</f>
        <v>284401.19915304799</v>
      </c>
      <c r="E8" s="142">
        <f t="shared" ref="E8:AG8" si="2">E7*(1+$C$2)^($B8-$B7)</f>
        <v>325964.94915304799</v>
      </c>
      <c r="F8" s="142">
        <f t="shared" si="2"/>
        <v>325964.94915304799</v>
      </c>
      <c r="G8" s="142">
        <f t="shared" si="2"/>
        <v>325964.94915304799</v>
      </c>
      <c r="H8" s="142">
        <f t="shared" si="2"/>
        <v>325964.94915304799</v>
      </c>
      <c r="I8" s="142">
        <f t="shared" si="2"/>
        <v>386838.09682442131</v>
      </c>
      <c r="J8" s="142">
        <f t="shared" si="2"/>
        <v>394989.12675916636</v>
      </c>
      <c r="K8" s="142">
        <f t="shared" si="2"/>
        <v>397486.95837762445</v>
      </c>
      <c r="L8" s="142">
        <f t="shared" si="2"/>
        <v>394381.50802983192</v>
      </c>
      <c r="M8" s="142">
        <f t="shared" si="2"/>
        <v>387404.40287013084</v>
      </c>
      <c r="N8" s="142">
        <f t="shared" si="2"/>
        <v>379391.17840132175</v>
      </c>
      <c r="O8" s="142">
        <f t="shared" si="2"/>
        <v>373150.29896818433</v>
      </c>
      <c r="P8" s="142">
        <f t="shared" si="2"/>
        <v>370364.54776710912</v>
      </c>
      <c r="Q8" s="142">
        <f t="shared" si="2"/>
        <v>371119.1454333287</v>
      </c>
      <c r="R8" s="142">
        <f t="shared" si="2"/>
        <v>374230.6335405311</v>
      </c>
      <c r="S8" s="142">
        <f t="shared" si="2"/>
        <v>378043.10994318355</v>
      </c>
      <c r="T8" s="142">
        <f t="shared" si="2"/>
        <v>381171.71549192816</v>
      </c>
      <c r="U8" s="142">
        <f t="shared" si="2"/>
        <v>388001.46969218191</v>
      </c>
      <c r="V8" s="142">
        <f t="shared" si="2"/>
        <v>383068.17559116392</v>
      </c>
      <c r="W8" s="142">
        <f t="shared" si="2"/>
        <v>382113.51344897482</v>
      </c>
      <c r="X8" s="142">
        <f t="shared" si="2"/>
        <v>380591.00211618003</v>
      </c>
      <c r="Y8" s="142">
        <f t="shared" si="2"/>
        <v>379075.68026702077</v>
      </c>
      <c r="Z8" s="142">
        <f t="shared" si="2"/>
        <v>377984.5678308013</v>
      </c>
      <c r="AA8" s="142">
        <f t="shared" si="2"/>
        <v>377498.62505401851</v>
      </c>
      <c r="AB8" s="142">
        <f t="shared" si="2"/>
        <v>377564.09563292924</v>
      </c>
      <c r="AC8" s="142">
        <f t="shared" si="2"/>
        <v>377957.90898391622</v>
      </c>
      <c r="AD8" s="142">
        <f t="shared" si="2"/>
        <v>363404.46064232913</v>
      </c>
      <c r="AE8" s="142">
        <f t="shared" si="2"/>
        <v>348101.06319358351</v>
      </c>
      <c r="AF8" s="142">
        <f t="shared" si="2"/>
        <v>323521.86267493531</v>
      </c>
      <c r="AG8" s="143">
        <f t="shared" si="2"/>
        <v>292969.16713649157</v>
      </c>
      <c r="AH8" s="139"/>
    </row>
    <row r="9" spans="1:34" ht="15.6" x14ac:dyDescent="0.3">
      <c r="A9" s="144" t="s">
        <v>210</v>
      </c>
      <c r="B9" s="145" t="s">
        <v>125</v>
      </c>
      <c r="C9" s="146"/>
      <c r="D9" s="146">
        <f>D7*(1+$C$2)^(D$4-$B7)</f>
        <v>291511.22913187416</v>
      </c>
      <c r="E9" s="146">
        <f>E7*(1+$C$2)^(E$4-$B7)</f>
        <v>342466.92470392102</v>
      </c>
      <c r="F9" s="146">
        <f t="shared" ref="F9:AG9" si="3">F7*(1+$C$2)^(F$4-$B7)</f>
        <v>351028.59782151901</v>
      </c>
      <c r="G9" s="146">
        <f t="shared" si="3"/>
        <v>359804.31276705698</v>
      </c>
      <c r="H9" s="146">
        <f t="shared" si="3"/>
        <v>368799.42058623338</v>
      </c>
      <c r="I9" s="146">
        <f t="shared" si="3"/>
        <v>448613.59480128222</v>
      </c>
      <c r="J9" s="146">
        <f t="shared" si="3"/>
        <v>469517.94783246884</v>
      </c>
      <c r="K9" s="146">
        <f t="shared" si="3"/>
        <v>484299.26180970162</v>
      </c>
      <c r="L9" s="146">
        <f t="shared" si="3"/>
        <v>492528.46141057502</v>
      </c>
      <c r="M9" s="146">
        <f t="shared" si="3"/>
        <v>495910.38846767333</v>
      </c>
      <c r="N9" s="146">
        <f t="shared" si="3"/>
        <v>497794.10326787416</v>
      </c>
      <c r="O9" s="146">
        <f t="shared" si="3"/>
        <v>501845.66684647585</v>
      </c>
      <c r="P9" s="146">
        <f t="shared" si="3"/>
        <v>510551.61971874454</v>
      </c>
      <c r="Q9" s="146">
        <f t="shared" si="3"/>
        <v>524381.63695944939</v>
      </c>
      <c r="R9" s="146">
        <f t="shared" si="3"/>
        <v>541997.5404041775</v>
      </c>
      <c r="S9" s="146">
        <f t="shared" si="3"/>
        <v>561207.1215626552</v>
      </c>
      <c r="T9" s="146">
        <f t="shared" si="3"/>
        <v>579997.84293671127</v>
      </c>
      <c r="U9" s="146">
        <f t="shared" si="3"/>
        <v>605149.87468834745</v>
      </c>
      <c r="V9" s="146">
        <f t="shared" si="3"/>
        <v>612392.01002510171</v>
      </c>
      <c r="W9" s="146">
        <f t="shared" si="3"/>
        <v>626137.4851946152</v>
      </c>
      <c r="X9" s="146">
        <f t="shared" si="3"/>
        <v>639233.73992152361</v>
      </c>
      <c r="Y9" s="146">
        <f t="shared" si="3"/>
        <v>652605.8486659209</v>
      </c>
      <c r="Z9" s="146">
        <f t="shared" si="3"/>
        <v>666995.606221786</v>
      </c>
      <c r="AA9" s="146">
        <f t="shared" si="3"/>
        <v>682791.55906695127</v>
      </c>
      <c r="AB9" s="146">
        <f t="shared" si="3"/>
        <v>699982.72683701036</v>
      </c>
      <c r="AC9" s="146">
        <f t="shared" si="3"/>
        <v>718230.65564428584</v>
      </c>
      <c r="AD9" s="146">
        <f t="shared" si="3"/>
        <v>707839.21508932568</v>
      </c>
      <c r="AE9" s="146">
        <f t="shared" si="3"/>
        <v>694982.03869007668</v>
      </c>
      <c r="AF9" s="146">
        <f t="shared" si="3"/>
        <v>662057.53197179979</v>
      </c>
      <c r="AG9" s="147">
        <f t="shared" si="3"/>
        <v>614522.62665609864</v>
      </c>
    </row>
    <row r="10" spans="1:34" ht="15.6" x14ac:dyDescent="0.3">
      <c r="A10" s="135" t="s">
        <v>212</v>
      </c>
      <c r="B10" s="169">
        <f>B7</f>
        <v>2015</v>
      </c>
      <c r="C10" s="148"/>
      <c r="D10" s="174">
        <f t="shared" ref="D10:AG12" si="4">D7/$C$1/1000</f>
        <v>3.7495214126967435</v>
      </c>
      <c r="E10" s="148">
        <f t="shared" si="4"/>
        <v>4.2974943856697161</v>
      </c>
      <c r="F10" s="148">
        <f t="shared" si="4"/>
        <v>4.2974943856697161</v>
      </c>
      <c r="G10" s="148">
        <f t="shared" si="4"/>
        <v>4.2974943856697161</v>
      </c>
      <c r="H10" s="148">
        <f t="shared" si="4"/>
        <v>4.2974943856697161</v>
      </c>
      <c r="I10" s="148">
        <f t="shared" si="4"/>
        <v>5.1000408282718706</v>
      </c>
      <c r="J10" s="148">
        <f t="shared" si="4"/>
        <v>5.2075033191716074</v>
      </c>
      <c r="K10" s="148">
        <f t="shared" si="4"/>
        <v>5.2404345204696705</v>
      </c>
      <c r="L10" s="148">
        <f t="shared" si="4"/>
        <v>5.1994925251131443</v>
      </c>
      <c r="M10" s="148">
        <f t="shared" si="4"/>
        <v>5.1075069593952644</v>
      </c>
      <c r="N10" s="148">
        <f t="shared" si="4"/>
        <v>5.0018612841308085</v>
      </c>
      <c r="O10" s="148">
        <f t="shared" si="4"/>
        <v>4.9195820562713823</v>
      </c>
      <c r="P10" s="148">
        <f t="shared" si="4"/>
        <v>4.8828549474899035</v>
      </c>
      <c r="Q10" s="148">
        <f t="shared" si="4"/>
        <v>4.8928034994506096</v>
      </c>
      <c r="R10" s="148">
        <f t="shared" si="4"/>
        <v>4.9338250961177472</v>
      </c>
      <c r="S10" s="148">
        <f t="shared" si="4"/>
        <v>4.9840884633247668</v>
      </c>
      <c r="T10" s="148">
        <f t="shared" si="4"/>
        <v>5.0253357348968777</v>
      </c>
      <c r="U10" s="148">
        <f t="shared" si="4"/>
        <v>5.1153786379984432</v>
      </c>
      <c r="V10" s="148">
        <f t="shared" si="4"/>
        <v>5.050338504827474</v>
      </c>
      <c r="W10" s="148">
        <f t="shared" si="4"/>
        <v>5.0377523196964376</v>
      </c>
      <c r="X10" s="148">
        <f t="shared" si="4"/>
        <v>5.017679658749902</v>
      </c>
      <c r="Y10" s="148">
        <f t="shared" si="4"/>
        <v>4.9977017833489894</v>
      </c>
      <c r="Z10" s="148">
        <f t="shared" si="4"/>
        <v>4.9833166490547312</v>
      </c>
      <c r="AA10" s="148">
        <f t="shared" si="4"/>
        <v>4.9769100204880496</v>
      </c>
      <c r="AB10" s="148">
        <f t="shared" si="4"/>
        <v>4.9777731790761939</v>
      </c>
      <c r="AC10" s="148">
        <f t="shared" si="4"/>
        <v>4.9829651810667928</v>
      </c>
      <c r="AD10" s="148">
        <f t="shared" si="4"/>
        <v>4.7910937461084924</v>
      </c>
      <c r="AE10" s="148">
        <f t="shared" si="4"/>
        <v>4.5893350453999151</v>
      </c>
      <c r="AF10" s="148">
        <f t="shared" si="4"/>
        <v>4.2652849396827328</v>
      </c>
      <c r="AG10" s="150">
        <f t="shared" si="4"/>
        <v>3.8624807796505154</v>
      </c>
    </row>
    <row r="11" spans="1:34" ht="15.6" x14ac:dyDescent="0.3">
      <c r="A11" s="140" t="s">
        <v>212</v>
      </c>
      <c r="B11" s="173">
        <f>B8</f>
        <v>2016</v>
      </c>
      <c r="C11" s="151"/>
      <c r="D11" s="175">
        <f t="shared" si="4"/>
        <v>3.843259448014162</v>
      </c>
      <c r="E11" s="151">
        <f t="shared" si="4"/>
        <v>4.4049317453114591</v>
      </c>
      <c r="F11" s="151">
        <f t="shared" si="4"/>
        <v>4.4049317453114591</v>
      </c>
      <c r="G11" s="151">
        <f t="shared" si="4"/>
        <v>4.4049317453114591</v>
      </c>
      <c r="H11" s="151">
        <f t="shared" si="4"/>
        <v>4.4049317453114591</v>
      </c>
      <c r="I11" s="151">
        <f t="shared" si="4"/>
        <v>5.2275418489786665</v>
      </c>
      <c r="J11" s="151">
        <f t="shared" si="4"/>
        <v>5.3376909021508965</v>
      </c>
      <c r="K11" s="151">
        <f t="shared" si="4"/>
        <v>5.3714453834814115</v>
      </c>
      <c r="L11" s="151">
        <f t="shared" si="4"/>
        <v>5.3294798382409718</v>
      </c>
      <c r="M11" s="151">
        <f t="shared" si="4"/>
        <v>5.2351946333801465</v>
      </c>
      <c r="N11" s="151">
        <f t="shared" si="4"/>
        <v>5.1269078162340778</v>
      </c>
      <c r="O11" s="151">
        <f t="shared" si="4"/>
        <v>5.0425716076781661</v>
      </c>
      <c r="P11" s="151">
        <f t="shared" si="4"/>
        <v>5.00492632117715</v>
      </c>
      <c r="Q11" s="151">
        <f t="shared" si="4"/>
        <v>5.0151235869368742</v>
      </c>
      <c r="R11" s="151">
        <f t="shared" si="4"/>
        <v>5.0571707235206906</v>
      </c>
      <c r="S11" s="151">
        <f t="shared" si="4"/>
        <v>5.1086906749078862</v>
      </c>
      <c r="T11" s="151">
        <f t="shared" si="4"/>
        <v>5.1509691282692991</v>
      </c>
      <c r="U11" s="151">
        <f t="shared" si="4"/>
        <v>5.2432631039484043</v>
      </c>
      <c r="V11" s="151">
        <f t="shared" si="4"/>
        <v>5.1765969674481616</v>
      </c>
      <c r="W11" s="151">
        <f t="shared" si="4"/>
        <v>5.1636961276888487</v>
      </c>
      <c r="X11" s="151">
        <f t="shared" si="4"/>
        <v>5.1431216502186485</v>
      </c>
      <c r="Y11" s="151">
        <f t="shared" si="4"/>
        <v>5.1226443279327132</v>
      </c>
      <c r="Z11" s="151">
        <f t="shared" si="4"/>
        <v>5.107899565281099</v>
      </c>
      <c r="AA11" s="151">
        <f t="shared" si="4"/>
        <v>5.1013327710002505</v>
      </c>
      <c r="AB11" s="151">
        <f t="shared" si="4"/>
        <v>5.1022175085530979</v>
      </c>
      <c r="AC11" s="151">
        <f t="shared" si="4"/>
        <v>5.107539310593463</v>
      </c>
      <c r="AD11" s="151">
        <f t="shared" si="4"/>
        <v>4.9108710897612049</v>
      </c>
      <c r="AE11" s="151">
        <f t="shared" si="4"/>
        <v>4.7040684215349122</v>
      </c>
      <c r="AF11" s="151">
        <f t="shared" si="4"/>
        <v>4.3719170631748012</v>
      </c>
      <c r="AG11" s="152">
        <f t="shared" si="4"/>
        <v>3.9590427991417778</v>
      </c>
    </row>
    <row r="12" spans="1:34" ht="15.6" x14ac:dyDescent="0.3">
      <c r="A12" s="144" t="s">
        <v>212</v>
      </c>
      <c r="B12" s="145" t="s">
        <v>125</v>
      </c>
      <c r="C12" s="153"/>
      <c r="D12" s="176">
        <f t="shared" si="4"/>
        <v>3.9393409342145156</v>
      </c>
      <c r="E12" s="153">
        <f t="shared" si="4"/>
        <v>4.6279314149178514</v>
      </c>
      <c r="F12" s="153">
        <f t="shared" si="4"/>
        <v>4.7436297002907981</v>
      </c>
      <c r="G12" s="153">
        <f t="shared" si="4"/>
        <v>4.8622204427980673</v>
      </c>
      <c r="H12" s="153">
        <f t="shared" si="4"/>
        <v>4.983775953868018</v>
      </c>
      <c r="I12" s="153">
        <f t="shared" si="4"/>
        <v>6.0623458756930031</v>
      </c>
      <c r="J12" s="153">
        <f t="shared" si="4"/>
        <v>6.3448371328712003</v>
      </c>
      <c r="K12" s="153">
        <f t="shared" si="4"/>
        <v>6.5445846190500214</v>
      </c>
      <c r="L12" s="153">
        <f t="shared" si="4"/>
        <v>6.6557900190618247</v>
      </c>
      <c r="M12" s="153">
        <f t="shared" si="4"/>
        <v>6.7014917360496389</v>
      </c>
      <c r="N12" s="153">
        <f t="shared" si="4"/>
        <v>6.726947341457759</v>
      </c>
      <c r="O12" s="153">
        <f t="shared" si="4"/>
        <v>6.7816982006280524</v>
      </c>
      <c r="P12" s="153">
        <f t="shared" si="4"/>
        <v>6.899346212415467</v>
      </c>
      <c r="Q12" s="153">
        <f t="shared" si="4"/>
        <v>7.0862383372898563</v>
      </c>
      <c r="R12" s="153">
        <f t="shared" si="4"/>
        <v>7.3242910865429396</v>
      </c>
      <c r="S12" s="153">
        <f t="shared" si="4"/>
        <v>7.5838800211169621</v>
      </c>
      <c r="T12" s="153">
        <f t="shared" si="4"/>
        <v>7.8378086883339364</v>
      </c>
      <c r="U12" s="153">
        <f t="shared" si="4"/>
        <v>8.1777010093019928</v>
      </c>
      <c r="V12" s="153">
        <f t="shared" si="4"/>
        <v>8.275567703041915</v>
      </c>
      <c r="W12" s="153">
        <f t="shared" si="4"/>
        <v>8.4613173674948001</v>
      </c>
      <c r="X12" s="153">
        <f t="shared" si="4"/>
        <v>8.6382937827232933</v>
      </c>
      <c r="Y12" s="153">
        <f t="shared" si="4"/>
        <v>8.8189979549448765</v>
      </c>
      <c r="Z12" s="153">
        <f t="shared" si="4"/>
        <v>9.0134541381322428</v>
      </c>
      <c r="AA12" s="153">
        <f t="shared" si="4"/>
        <v>9.2269129603642064</v>
      </c>
      <c r="AB12" s="153">
        <f t="shared" si="4"/>
        <v>9.4592260383379774</v>
      </c>
      <c r="AC12" s="153">
        <f t="shared" si="4"/>
        <v>9.7058196708687277</v>
      </c>
      <c r="AD12" s="153">
        <f t="shared" si="4"/>
        <v>9.5653947985044017</v>
      </c>
      <c r="AE12" s="153">
        <f t="shared" si="4"/>
        <v>9.3916491714875221</v>
      </c>
      <c r="AF12" s="153">
        <f t="shared" si="4"/>
        <v>8.9467234050243221</v>
      </c>
      <c r="AG12" s="154">
        <f t="shared" si="4"/>
        <v>8.3043598196770088</v>
      </c>
    </row>
    <row r="13" spans="1:34" ht="15.6" x14ac:dyDescent="0.3">
      <c r="A13" s="135" t="s">
        <v>220</v>
      </c>
      <c r="B13" s="169">
        <f>B10</f>
        <v>2015</v>
      </c>
      <c r="C13" s="148"/>
      <c r="D13" s="174">
        <f>AVERAGE($D10:$AG10)</f>
        <v>4.8027612878209309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50"/>
    </row>
    <row r="14" spans="1:34" ht="15.6" x14ac:dyDescent="0.3">
      <c r="A14" s="140" t="s">
        <v>220</v>
      </c>
      <c r="B14" s="177">
        <f>B11</f>
        <v>2016</v>
      </c>
      <c r="C14" s="178"/>
      <c r="D14" s="179">
        <f>AVERAGE($D11:$AG11)</f>
        <v>4.9228303200164545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2"/>
    </row>
    <row r="15" spans="1:34" ht="15.6" x14ac:dyDescent="0.3">
      <c r="A15" s="140" t="s">
        <v>220</v>
      </c>
      <c r="B15" s="145" t="s">
        <v>125</v>
      </c>
      <c r="C15" s="153"/>
      <c r="D15" s="176">
        <f>AVERAGE($D12:$AG12)</f>
        <v>7.3897191845501071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4"/>
    </row>
    <row r="16" spans="1:34" ht="15.6" x14ac:dyDescent="0.3">
      <c r="A16" s="180" t="s">
        <v>214</v>
      </c>
      <c r="B16" s="181">
        <f>B8</f>
        <v>2016</v>
      </c>
      <c r="C16" s="182"/>
      <c r="D16" s="183">
        <f>NPV($C$3,$D9:$AG9)/1000000</f>
        <v>5.6219143863982994</v>
      </c>
      <c r="E16" s="184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6"/>
    </row>
    <row r="17" spans="1:33" ht="21" x14ac:dyDescent="0.4">
      <c r="A17" s="167" t="s">
        <v>221</v>
      </c>
      <c r="B17" s="168"/>
      <c r="C17" s="168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</row>
    <row r="18" spans="1:33" ht="15.6" x14ac:dyDescent="0.3">
      <c r="A18" s="135" t="s">
        <v>222</v>
      </c>
      <c r="B18" s="169">
        <f ca="1">YEAR(NOW())</f>
        <v>2016</v>
      </c>
      <c r="C18" s="170">
        <v>245300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9600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9600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1">
        <v>0</v>
      </c>
    </row>
    <row r="19" spans="1:33" ht="15.6" x14ac:dyDescent="0.3">
      <c r="A19" s="140" t="s">
        <v>222</v>
      </c>
      <c r="B19" s="173">
        <f>VALUE(RIGHT($C$4,4))</f>
        <v>2016</v>
      </c>
      <c r="C19" s="142">
        <f ca="1">C18*(1+$C$2)^($B19-$B18)</f>
        <v>245300</v>
      </c>
      <c r="D19" s="142">
        <f ca="1">D18*(1+$C$2)^($B19-$B18)</f>
        <v>0</v>
      </c>
      <c r="E19" s="142">
        <f ca="1">E18*(1+$C$2)^($B19-$B18)</f>
        <v>0</v>
      </c>
      <c r="F19" s="142">
        <f t="shared" ref="F19:AG19" ca="1" si="5">F18*(1+$C$2)^($B19-$B18)</f>
        <v>0</v>
      </c>
      <c r="G19" s="142">
        <f t="shared" ca="1" si="5"/>
        <v>0</v>
      </c>
      <c r="H19" s="142">
        <f t="shared" ca="1" si="5"/>
        <v>0</v>
      </c>
      <c r="I19" s="142">
        <f t="shared" ca="1" si="5"/>
        <v>0</v>
      </c>
      <c r="J19" s="142">
        <f t="shared" ca="1" si="5"/>
        <v>0</v>
      </c>
      <c r="K19" s="142">
        <f t="shared" ca="1" si="5"/>
        <v>9600</v>
      </c>
      <c r="L19" s="142">
        <f t="shared" ca="1" si="5"/>
        <v>0</v>
      </c>
      <c r="M19" s="142">
        <f t="shared" ca="1" si="5"/>
        <v>0</v>
      </c>
      <c r="N19" s="142">
        <f t="shared" ca="1" si="5"/>
        <v>0</v>
      </c>
      <c r="O19" s="142">
        <f t="shared" ca="1" si="5"/>
        <v>0</v>
      </c>
      <c r="P19" s="142">
        <f t="shared" ca="1" si="5"/>
        <v>0</v>
      </c>
      <c r="Q19" s="142">
        <f t="shared" ca="1" si="5"/>
        <v>0</v>
      </c>
      <c r="R19" s="142">
        <f t="shared" ca="1" si="5"/>
        <v>0</v>
      </c>
      <c r="S19" s="142">
        <f t="shared" ca="1" si="5"/>
        <v>9600</v>
      </c>
      <c r="T19" s="142">
        <f t="shared" ca="1" si="5"/>
        <v>0</v>
      </c>
      <c r="U19" s="142">
        <f t="shared" ca="1" si="5"/>
        <v>0</v>
      </c>
      <c r="V19" s="142">
        <f t="shared" ca="1" si="5"/>
        <v>0</v>
      </c>
      <c r="W19" s="142">
        <f t="shared" ca="1" si="5"/>
        <v>0</v>
      </c>
      <c r="X19" s="142">
        <f t="shared" ca="1" si="5"/>
        <v>0</v>
      </c>
      <c r="Y19" s="142">
        <f t="shared" ca="1" si="5"/>
        <v>0</v>
      </c>
      <c r="Z19" s="142">
        <f t="shared" ca="1" si="5"/>
        <v>0</v>
      </c>
      <c r="AA19" s="142">
        <f t="shared" ca="1" si="5"/>
        <v>0</v>
      </c>
      <c r="AB19" s="142">
        <f t="shared" ca="1" si="5"/>
        <v>0</v>
      </c>
      <c r="AC19" s="142">
        <f t="shared" ca="1" si="5"/>
        <v>0</v>
      </c>
      <c r="AD19" s="142">
        <f t="shared" ca="1" si="5"/>
        <v>0</v>
      </c>
      <c r="AE19" s="142">
        <f t="shared" ca="1" si="5"/>
        <v>0</v>
      </c>
      <c r="AF19" s="142">
        <f t="shared" ca="1" si="5"/>
        <v>0</v>
      </c>
      <c r="AG19" s="143">
        <f t="shared" ca="1" si="5"/>
        <v>0</v>
      </c>
    </row>
    <row r="20" spans="1:33" ht="15.6" x14ac:dyDescent="0.3">
      <c r="A20" s="144" t="s">
        <v>222</v>
      </c>
      <c r="B20" s="145" t="s">
        <v>125</v>
      </c>
      <c r="C20" s="146">
        <f ca="1">C18*(1+$C$2)^($B$19-$B18)</f>
        <v>245300</v>
      </c>
      <c r="D20" s="146">
        <f t="shared" ref="D20:AG20" ca="1" si="6">D18*(1+$C$2)^(D$4-$B18)</f>
        <v>0</v>
      </c>
      <c r="E20" s="146">
        <f t="shared" ca="1" si="6"/>
        <v>0</v>
      </c>
      <c r="F20" s="146">
        <f t="shared" ca="1" si="6"/>
        <v>0</v>
      </c>
      <c r="G20" s="146">
        <f t="shared" ca="1" si="6"/>
        <v>0</v>
      </c>
      <c r="H20" s="146">
        <f t="shared" ca="1" si="6"/>
        <v>0</v>
      </c>
      <c r="I20" s="146">
        <f t="shared" ca="1" si="6"/>
        <v>0</v>
      </c>
      <c r="J20" s="146">
        <f t="shared" ca="1" si="6"/>
        <v>0</v>
      </c>
      <c r="K20" s="146">
        <f t="shared" ca="1" si="6"/>
        <v>11696.667816095211</v>
      </c>
      <c r="L20" s="146">
        <f t="shared" ca="1" si="6"/>
        <v>0</v>
      </c>
      <c r="M20" s="146">
        <f t="shared" ca="1" si="6"/>
        <v>0</v>
      </c>
      <c r="N20" s="146">
        <f t="shared" ca="1" si="6"/>
        <v>0</v>
      </c>
      <c r="O20" s="146">
        <f t="shared" ca="1" si="6"/>
        <v>0</v>
      </c>
      <c r="P20" s="146">
        <f t="shared" ca="1" si="6"/>
        <v>0</v>
      </c>
      <c r="Q20" s="146">
        <f t="shared" ca="1" si="6"/>
        <v>0</v>
      </c>
      <c r="R20" s="146">
        <f t="shared" ca="1" si="6"/>
        <v>0</v>
      </c>
      <c r="S20" s="146">
        <f t="shared" ca="1" si="6"/>
        <v>14251.253958341405</v>
      </c>
      <c r="T20" s="146">
        <f t="shared" ca="1" si="6"/>
        <v>0</v>
      </c>
      <c r="U20" s="146">
        <f t="shared" ca="1" si="6"/>
        <v>0</v>
      </c>
      <c r="V20" s="146">
        <f t="shared" ca="1" si="6"/>
        <v>0</v>
      </c>
      <c r="W20" s="146">
        <f t="shared" ca="1" si="6"/>
        <v>0</v>
      </c>
      <c r="X20" s="146">
        <f t="shared" ca="1" si="6"/>
        <v>0</v>
      </c>
      <c r="Y20" s="146">
        <f t="shared" ca="1" si="6"/>
        <v>0</v>
      </c>
      <c r="Z20" s="146">
        <f t="shared" ca="1" si="6"/>
        <v>0</v>
      </c>
      <c r="AA20" s="146">
        <f t="shared" ca="1" si="6"/>
        <v>0</v>
      </c>
      <c r="AB20" s="146">
        <f t="shared" ca="1" si="6"/>
        <v>0</v>
      </c>
      <c r="AC20" s="146">
        <f t="shared" ca="1" si="6"/>
        <v>0</v>
      </c>
      <c r="AD20" s="146">
        <f t="shared" ca="1" si="6"/>
        <v>0</v>
      </c>
      <c r="AE20" s="146">
        <f t="shared" ca="1" si="6"/>
        <v>0</v>
      </c>
      <c r="AF20" s="146">
        <f t="shared" ca="1" si="6"/>
        <v>0</v>
      </c>
      <c r="AG20" s="147">
        <f t="shared" ca="1" si="6"/>
        <v>0</v>
      </c>
    </row>
    <row r="21" spans="1:33" ht="15.6" x14ac:dyDescent="0.3">
      <c r="A21" s="135" t="s">
        <v>223</v>
      </c>
      <c r="B21" s="169">
        <f ca="1">B18</f>
        <v>2016</v>
      </c>
      <c r="C21" s="174">
        <f t="shared" ref="C21:AG23" si="7">C18/$C$1/1000</f>
        <v>3.3148648648648651</v>
      </c>
      <c r="D21" s="148">
        <f t="shared" si="7"/>
        <v>0</v>
      </c>
      <c r="E21" s="148">
        <f t="shared" si="7"/>
        <v>0</v>
      </c>
      <c r="F21" s="148">
        <f t="shared" si="7"/>
        <v>0</v>
      </c>
      <c r="G21" s="148">
        <f t="shared" si="7"/>
        <v>0</v>
      </c>
      <c r="H21" s="148">
        <f t="shared" si="7"/>
        <v>0</v>
      </c>
      <c r="I21" s="148">
        <f t="shared" si="7"/>
        <v>0</v>
      </c>
      <c r="J21" s="148">
        <f t="shared" si="7"/>
        <v>0</v>
      </c>
      <c r="K21" s="148">
        <f t="shared" si="7"/>
        <v>0.12972972972972974</v>
      </c>
      <c r="L21" s="148">
        <f t="shared" si="7"/>
        <v>0</v>
      </c>
      <c r="M21" s="148">
        <f t="shared" si="7"/>
        <v>0</v>
      </c>
      <c r="N21" s="148">
        <f t="shared" si="7"/>
        <v>0</v>
      </c>
      <c r="O21" s="148">
        <f t="shared" si="7"/>
        <v>0</v>
      </c>
      <c r="P21" s="148">
        <f t="shared" si="7"/>
        <v>0</v>
      </c>
      <c r="Q21" s="148">
        <f t="shared" si="7"/>
        <v>0</v>
      </c>
      <c r="R21" s="148">
        <f t="shared" si="7"/>
        <v>0</v>
      </c>
      <c r="S21" s="148">
        <f t="shared" si="7"/>
        <v>0.12972972972972974</v>
      </c>
      <c r="T21" s="148">
        <f t="shared" si="7"/>
        <v>0</v>
      </c>
      <c r="U21" s="148">
        <f t="shared" si="7"/>
        <v>0</v>
      </c>
      <c r="V21" s="148">
        <f t="shared" si="7"/>
        <v>0</v>
      </c>
      <c r="W21" s="148">
        <f t="shared" si="7"/>
        <v>0</v>
      </c>
      <c r="X21" s="148">
        <f t="shared" si="7"/>
        <v>0</v>
      </c>
      <c r="Y21" s="148">
        <f t="shared" si="7"/>
        <v>0</v>
      </c>
      <c r="Z21" s="148">
        <f t="shared" si="7"/>
        <v>0</v>
      </c>
      <c r="AA21" s="148">
        <f t="shared" si="7"/>
        <v>0</v>
      </c>
      <c r="AB21" s="148">
        <f t="shared" si="7"/>
        <v>0</v>
      </c>
      <c r="AC21" s="148">
        <f t="shared" si="7"/>
        <v>0</v>
      </c>
      <c r="AD21" s="148">
        <f t="shared" si="7"/>
        <v>0</v>
      </c>
      <c r="AE21" s="148">
        <f t="shared" si="7"/>
        <v>0</v>
      </c>
      <c r="AF21" s="148">
        <f t="shared" si="7"/>
        <v>0</v>
      </c>
      <c r="AG21" s="150">
        <f t="shared" si="7"/>
        <v>0</v>
      </c>
    </row>
    <row r="22" spans="1:33" ht="15.6" x14ac:dyDescent="0.3">
      <c r="A22" s="140" t="s">
        <v>223</v>
      </c>
      <c r="B22" s="173">
        <f>B19</f>
        <v>2016</v>
      </c>
      <c r="C22" s="175">
        <f t="shared" ca="1" si="7"/>
        <v>3.3148648648648651</v>
      </c>
      <c r="D22" s="151">
        <f t="shared" ca="1" si="7"/>
        <v>0</v>
      </c>
      <c r="E22" s="151">
        <f t="shared" ca="1" si="7"/>
        <v>0</v>
      </c>
      <c r="F22" s="151">
        <f t="shared" ca="1" si="7"/>
        <v>0</v>
      </c>
      <c r="G22" s="151">
        <f t="shared" ca="1" si="7"/>
        <v>0</v>
      </c>
      <c r="H22" s="151">
        <f t="shared" ca="1" si="7"/>
        <v>0</v>
      </c>
      <c r="I22" s="151">
        <f t="shared" ca="1" si="7"/>
        <v>0</v>
      </c>
      <c r="J22" s="151">
        <f t="shared" ca="1" si="7"/>
        <v>0</v>
      </c>
      <c r="K22" s="151">
        <f t="shared" ca="1" si="7"/>
        <v>0.12972972972972974</v>
      </c>
      <c r="L22" s="151">
        <f t="shared" ca="1" si="7"/>
        <v>0</v>
      </c>
      <c r="M22" s="151">
        <f t="shared" ca="1" si="7"/>
        <v>0</v>
      </c>
      <c r="N22" s="151">
        <f t="shared" ca="1" si="7"/>
        <v>0</v>
      </c>
      <c r="O22" s="151">
        <f t="shared" ca="1" si="7"/>
        <v>0</v>
      </c>
      <c r="P22" s="151">
        <f t="shared" ca="1" si="7"/>
        <v>0</v>
      </c>
      <c r="Q22" s="151">
        <f t="shared" ca="1" si="7"/>
        <v>0</v>
      </c>
      <c r="R22" s="151">
        <f t="shared" ca="1" si="7"/>
        <v>0</v>
      </c>
      <c r="S22" s="151">
        <f t="shared" ca="1" si="7"/>
        <v>0.12972972972972974</v>
      </c>
      <c r="T22" s="151">
        <f t="shared" ca="1" si="7"/>
        <v>0</v>
      </c>
      <c r="U22" s="151">
        <f t="shared" ca="1" si="7"/>
        <v>0</v>
      </c>
      <c r="V22" s="151">
        <f t="shared" ca="1" si="7"/>
        <v>0</v>
      </c>
      <c r="W22" s="151">
        <f t="shared" ca="1" si="7"/>
        <v>0</v>
      </c>
      <c r="X22" s="151">
        <f t="shared" ca="1" si="7"/>
        <v>0</v>
      </c>
      <c r="Y22" s="151">
        <f t="shared" ca="1" si="7"/>
        <v>0</v>
      </c>
      <c r="Z22" s="151">
        <f t="shared" ca="1" si="7"/>
        <v>0</v>
      </c>
      <c r="AA22" s="151">
        <f t="shared" ca="1" si="7"/>
        <v>0</v>
      </c>
      <c r="AB22" s="151">
        <f t="shared" ca="1" si="7"/>
        <v>0</v>
      </c>
      <c r="AC22" s="151">
        <f t="shared" ca="1" si="7"/>
        <v>0</v>
      </c>
      <c r="AD22" s="151">
        <f t="shared" ca="1" si="7"/>
        <v>0</v>
      </c>
      <c r="AE22" s="151">
        <f t="shared" ca="1" si="7"/>
        <v>0</v>
      </c>
      <c r="AF22" s="151">
        <f t="shared" ca="1" si="7"/>
        <v>0</v>
      </c>
      <c r="AG22" s="152">
        <f t="shared" ca="1" si="7"/>
        <v>0</v>
      </c>
    </row>
    <row r="23" spans="1:33" ht="15.6" x14ac:dyDescent="0.3">
      <c r="A23" s="144" t="s">
        <v>223</v>
      </c>
      <c r="B23" s="145" t="s">
        <v>125</v>
      </c>
      <c r="C23" s="176">
        <f t="shared" ca="1" si="7"/>
        <v>3.3148648648648651</v>
      </c>
      <c r="D23" s="153">
        <f t="shared" ca="1" si="7"/>
        <v>0</v>
      </c>
      <c r="E23" s="153">
        <f t="shared" ca="1" si="7"/>
        <v>0</v>
      </c>
      <c r="F23" s="153">
        <f t="shared" ca="1" si="7"/>
        <v>0</v>
      </c>
      <c r="G23" s="153">
        <f t="shared" ca="1" si="7"/>
        <v>0</v>
      </c>
      <c r="H23" s="153">
        <f t="shared" ca="1" si="7"/>
        <v>0</v>
      </c>
      <c r="I23" s="153">
        <f t="shared" ca="1" si="7"/>
        <v>0</v>
      </c>
      <c r="J23" s="153">
        <f t="shared" ca="1" si="7"/>
        <v>0</v>
      </c>
      <c r="K23" s="153">
        <f t="shared" ca="1" si="7"/>
        <v>0.15806307859588123</v>
      </c>
      <c r="L23" s="153">
        <f t="shared" ca="1" si="7"/>
        <v>0</v>
      </c>
      <c r="M23" s="153">
        <f t="shared" ca="1" si="7"/>
        <v>0</v>
      </c>
      <c r="N23" s="153">
        <f t="shared" ca="1" si="7"/>
        <v>0</v>
      </c>
      <c r="O23" s="153">
        <f t="shared" ca="1" si="7"/>
        <v>0</v>
      </c>
      <c r="P23" s="153">
        <f t="shared" ca="1" si="7"/>
        <v>0</v>
      </c>
      <c r="Q23" s="153">
        <f t="shared" ca="1" si="7"/>
        <v>0</v>
      </c>
      <c r="R23" s="153">
        <f t="shared" ca="1" si="7"/>
        <v>0</v>
      </c>
      <c r="S23" s="153">
        <f t="shared" ca="1" si="7"/>
        <v>0.19258451295055953</v>
      </c>
      <c r="T23" s="153">
        <f t="shared" ca="1" si="7"/>
        <v>0</v>
      </c>
      <c r="U23" s="153">
        <f t="shared" ca="1" si="7"/>
        <v>0</v>
      </c>
      <c r="V23" s="153">
        <f t="shared" ca="1" si="7"/>
        <v>0</v>
      </c>
      <c r="W23" s="153">
        <f t="shared" ca="1" si="7"/>
        <v>0</v>
      </c>
      <c r="X23" s="153">
        <f t="shared" ca="1" si="7"/>
        <v>0</v>
      </c>
      <c r="Y23" s="153">
        <f t="shared" ca="1" si="7"/>
        <v>0</v>
      </c>
      <c r="Z23" s="153">
        <f t="shared" ca="1" si="7"/>
        <v>0</v>
      </c>
      <c r="AA23" s="153">
        <f t="shared" ca="1" si="7"/>
        <v>0</v>
      </c>
      <c r="AB23" s="153">
        <f t="shared" ca="1" si="7"/>
        <v>0</v>
      </c>
      <c r="AC23" s="153">
        <f t="shared" ca="1" si="7"/>
        <v>0</v>
      </c>
      <c r="AD23" s="153">
        <f t="shared" ca="1" si="7"/>
        <v>0</v>
      </c>
      <c r="AE23" s="153">
        <f t="shared" ca="1" si="7"/>
        <v>0</v>
      </c>
      <c r="AF23" s="153">
        <f t="shared" ca="1" si="7"/>
        <v>0</v>
      </c>
      <c r="AG23" s="154">
        <f t="shared" ca="1" si="7"/>
        <v>0</v>
      </c>
    </row>
    <row r="24" spans="1:33" ht="15.6" x14ac:dyDescent="0.3">
      <c r="A24" s="135" t="s">
        <v>224</v>
      </c>
      <c r="B24" s="169">
        <f ca="1">B21</f>
        <v>2016</v>
      </c>
      <c r="C24" s="148"/>
      <c r="D24" s="174">
        <f>AVERAGE($D21:$AG21)</f>
        <v>8.6486486486486488E-3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50"/>
    </row>
    <row r="25" spans="1:33" ht="15.6" x14ac:dyDescent="0.3">
      <c r="A25" s="140" t="s">
        <v>224</v>
      </c>
      <c r="B25" s="173">
        <f>B22</f>
        <v>2016</v>
      </c>
      <c r="C25" s="175"/>
      <c r="D25" s="175">
        <f ca="1">AVERAGE($D22:$AG22)</f>
        <v>8.6486486486486488E-3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2"/>
    </row>
    <row r="26" spans="1:33" ht="15.6" x14ac:dyDescent="0.3">
      <c r="A26" s="140" t="s">
        <v>224</v>
      </c>
      <c r="B26" s="145" t="s">
        <v>125</v>
      </c>
      <c r="C26" s="153"/>
      <c r="D26" s="176">
        <f ca="1">AVERAGE($D23:$AG23)</f>
        <v>1.1688253051548025E-2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4"/>
    </row>
    <row r="27" spans="1:33" ht="15.6" x14ac:dyDescent="0.3">
      <c r="A27" s="187" t="s">
        <v>225</v>
      </c>
      <c r="B27" s="188">
        <f>B19</f>
        <v>2016</v>
      </c>
      <c r="C27" s="189">
        <f ca="1">($C$20+NPV($C$3,$D20:$AG20))/1000000</f>
        <v>0.25632721483381499</v>
      </c>
      <c r="D27" s="183"/>
      <c r="E27" s="184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6"/>
    </row>
    <row r="29" spans="1:33" x14ac:dyDescent="0.3">
      <c r="D29" s="97">
        <v>2017</v>
      </c>
      <c r="E29" s="97">
        <v>2018</v>
      </c>
      <c r="F29" s="97">
        <v>2019</v>
      </c>
      <c r="G29" s="97">
        <v>2020</v>
      </c>
      <c r="H29" s="97">
        <v>2021</v>
      </c>
      <c r="I29" s="97">
        <v>2022</v>
      </c>
      <c r="J29" s="97">
        <v>2023</v>
      </c>
      <c r="K29" s="97">
        <v>2024</v>
      </c>
      <c r="L29" s="97">
        <v>2025</v>
      </c>
      <c r="M29" s="97">
        <v>2026</v>
      </c>
      <c r="N29" s="97">
        <v>2027</v>
      </c>
      <c r="O29" s="97">
        <v>2028</v>
      </c>
      <c r="P29" s="97">
        <v>2029</v>
      </c>
      <c r="Q29" s="97">
        <v>2030</v>
      </c>
      <c r="R29" s="97">
        <v>2031</v>
      </c>
      <c r="S29" s="97">
        <v>2032</v>
      </c>
      <c r="T29" s="97">
        <v>2033</v>
      </c>
      <c r="U29" s="97">
        <v>2034</v>
      </c>
      <c r="V29" s="97">
        <v>2035</v>
      </c>
      <c r="W29" s="97">
        <v>2036</v>
      </c>
      <c r="X29" s="97">
        <v>2037</v>
      </c>
      <c r="Y29" s="97">
        <v>2038</v>
      </c>
      <c r="Z29" s="97">
        <v>2039</v>
      </c>
      <c r="AA29" s="97">
        <v>2040</v>
      </c>
      <c r="AB29" s="97">
        <v>2041</v>
      </c>
      <c r="AC29" s="97">
        <v>2042</v>
      </c>
      <c r="AD29" s="97">
        <v>2043</v>
      </c>
      <c r="AE29" s="97">
        <v>2044</v>
      </c>
      <c r="AF29" s="97">
        <v>2045</v>
      </c>
      <c r="AG29" s="97">
        <v>2046</v>
      </c>
    </row>
    <row r="30" spans="1:33" x14ac:dyDescent="0.3">
      <c r="D30" s="108">
        <f ca="1">C20+D9+D20</f>
        <v>536811.22913187416</v>
      </c>
      <c r="E30" s="108">
        <f t="shared" ref="E30:AG30" ca="1" si="8">E9+E20</f>
        <v>342466.92470392102</v>
      </c>
      <c r="F30" s="108">
        <f t="shared" ca="1" si="8"/>
        <v>351028.59782151901</v>
      </c>
      <c r="G30" s="108">
        <f t="shared" ca="1" si="8"/>
        <v>359804.31276705698</v>
      </c>
      <c r="H30" s="108">
        <f t="shared" ca="1" si="8"/>
        <v>368799.42058623338</v>
      </c>
      <c r="I30" s="108">
        <f t="shared" ca="1" si="8"/>
        <v>448613.59480128222</v>
      </c>
      <c r="J30" s="108">
        <f t="shared" ca="1" si="8"/>
        <v>469517.94783246884</v>
      </c>
      <c r="K30" s="108">
        <f t="shared" ca="1" si="8"/>
        <v>495995.92962579685</v>
      </c>
      <c r="L30" s="108">
        <f t="shared" ca="1" si="8"/>
        <v>492528.46141057502</v>
      </c>
      <c r="M30" s="108">
        <f t="shared" ca="1" si="8"/>
        <v>495910.38846767333</v>
      </c>
      <c r="N30" s="108">
        <f t="shared" ca="1" si="8"/>
        <v>497794.10326787416</v>
      </c>
      <c r="O30" s="108">
        <f t="shared" ca="1" si="8"/>
        <v>501845.66684647585</v>
      </c>
      <c r="P30" s="108">
        <f t="shared" ca="1" si="8"/>
        <v>510551.61971874454</v>
      </c>
      <c r="Q30" s="108">
        <f t="shared" ca="1" si="8"/>
        <v>524381.63695944939</v>
      </c>
      <c r="R30" s="108">
        <f t="shared" ca="1" si="8"/>
        <v>541997.5404041775</v>
      </c>
      <c r="S30" s="108">
        <f t="shared" ca="1" si="8"/>
        <v>575458.37552099663</v>
      </c>
      <c r="T30" s="108">
        <f t="shared" ca="1" si="8"/>
        <v>579997.84293671127</v>
      </c>
      <c r="U30" s="108">
        <f t="shared" ca="1" si="8"/>
        <v>605149.87468834745</v>
      </c>
      <c r="V30" s="108">
        <f t="shared" ca="1" si="8"/>
        <v>612392.01002510171</v>
      </c>
      <c r="W30" s="108">
        <f t="shared" ca="1" si="8"/>
        <v>626137.4851946152</v>
      </c>
      <c r="X30" s="108">
        <f t="shared" ca="1" si="8"/>
        <v>639233.73992152361</v>
      </c>
      <c r="Y30" s="108">
        <f t="shared" ca="1" si="8"/>
        <v>652605.8486659209</v>
      </c>
      <c r="Z30" s="108">
        <f t="shared" ca="1" si="8"/>
        <v>666995.606221786</v>
      </c>
      <c r="AA30" s="108">
        <f t="shared" ca="1" si="8"/>
        <v>682791.55906695127</v>
      </c>
      <c r="AB30" s="108">
        <f t="shared" ca="1" si="8"/>
        <v>699982.72683701036</v>
      </c>
      <c r="AC30" s="108">
        <f t="shared" ca="1" si="8"/>
        <v>718230.65564428584</v>
      </c>
      <c r="AD30" s="108">
        <f t="shared" ca="1" si="8"/>
        <v>707839.21508932568</v>
      </c>
      <c r="AE30" s="108">
        <f t="shared" ca="1" si="8"/>
        <v>694982.03869007668</v>
      </c>
      <c r="AF30" s="108">
        <f t="shared" ca="1" si="8"/>
        <v>662057.53197179979</v>
      </c>
      <c r="AG30" s="108">
        <f t="shared" ca="1" si="8"/>
        <v>614522.62665609864</v>
      </c>
    </row>
    <row r="31" spans="1:33" x14ac:dyDescent="0.3">
      <c r="B31" s="190" t="s">
        <v>226</v>
      </c>
      <c r="C31" s="58" t="s">
        <v>227</v>
      </c>
      <c r="D31" s="191">
        <f ca="1">D30/10^6</f>
        <v>0.53681122913187418</v>
      </c>
      <c r="E31" s="191">
        <f t="shared" ref="E31:AG31" ca="1" si="9">E30/10^6</f>
        <v>0.34246692470392104</v>
      </c>
      <c r="F31" s="191">
        <f t="shared" ca="1" si="9"/>
        <v>0.35102859782151902</v>
      </c>
      <c r="G31" s="191">
        <f t="shared" ca="1" si="9"/>
        <v>0.35980431276705699</v>
      </c>
      <c r="H31" s="191">
        <f t="shared" ca="1" si="9"/>
        <v>0.36879942058623338</v>
      </c>
      <c r="I31" s="191">
        <f t="shared" ca="1" si="9"/>
        <v>0.44861359480128221</v>
      </c>
      <c r="J31" s="191">
        <f t="shared" ca="1" si="9"/>
        <v>0.46951794783246886</v>
      </c>
      <c r="K31" s="191">
        <f t="shared" ca="1" si="9"/>
        <v>0.49599592962579686</v>
      </c>
      <c r="L31" s="191">
        <f t="shared" ca="1" si="9"/>
        <v>0.49252846141057505</v>
      </c>
      <c r="M31" s="191">
        <f t="shared" ca="1" si="9"/>
        <v>0.49591038846767332</v>
      </c>
      <c r="N31" s="191">
        <f t="shared" ca="1" si="9"/>
        <v>0.49779410326787416</v>
      </c>
      <c r="O31" s="191">
        <f t="shared" ca="1" si="9"/>
        <v>0.5018456668464758</v>
      </c>
      <c r="P31" s="191">
        <f t="shared" ca="1" si="9"/>
        <v>0.51055161971874452</v>
      </c>
      <c r="Q31" s="191">
        <f t="shared" ca="1" si="9"/>
        <v>0.52438163695944939</v>
      </c>
      <c r="R31" s="191">
        <f t="shared" ca="1" si="9"/>
        <v>0.54199754040417747</v>
      </c>
      <c r="S31" s="191">
        <f t="shared" ca="1" si="9"/>
        <v>0.57545837552099666</v>
      </c>
      <c r="T31" s="191">
        <f t="shared" ca="1" si="9"/>
        <v>0.57999784293671131</v>
      </c>
      <c r="U31" s="191">
        <f t="shared" ca="1" si="9"/>
        <v>0.60514987468834747</v>
      </c>
      <c r="V31" s="191">
        <f t="shared" ca="1" si="9"/>
        <v>0.61239201002510169</v>
      </c>
      <c r="W31" s="191">
        <f t="shared" ca="1" si="9"/>
        <v>0.62613748519461521</v>
      </c>
      <c r="X31" s="191">
        <f t="shared" ca="1" si="9"/>
        <v>0.63923373992152366</v>
      </c>
      <c r="Y31" s="191">
        <f t="shared" ca="1" si="9"/>
        <v>0.65260584866592086</v>
      </c>
      <c r="Z31" s="191">
        <f t="shared" ca="1" si="9"/>
        <v>0.666995606221786</v>
      </c>
      <c r="AA31" s="191">
        <f t="shared" ca="1" si="9"/>
        <v>0.68279155906695133</v>
      </c>
      <c r="AB31" s="191">
        <f t="shared" ca="1" si="9"/>
        <v>0.69998272683701035</v>
      </c>
      <c r="AC31" s="191">
        <f t="shared" ca="1" si="9"/>
        <v>0.71823065564428579</v>
      </c>
      <c r="AD31" s="191">
        <f t="shared" ca="1" si="9"/>
        <v>0.70783921508932568</v>
      </c>
      <c r="AE31" s="191">
        <f t="shared" ca="1" si="9"/>
        <v>0.69498203869007669</v>
      </c>
      <c r="AF31" s="191">
        <f t="shared" ca="1" si="9"/>
        <v>0.66205753197179984</v>
      </c>
      <c r="AG31" s="191">
        <f t="shared" ca="1" si="9"/>
        <v>0.61452262665609869</v>
      </c>
    </row>
    <row r="34" spans="1:34" ht="21" x14ac:dyDescent="0.4">
      <c r="A34" s="162" t="s">
        <v>228</v>
      </c>
      <c r="B34" s="9" t="s">
        <v>205</v>
      </c>
      <c r="C34" s="163">
        <v>74</v>
      </c>
      <c r="D34" s="129"/>
      <c r="E34" s="59" t="s">
        <v>218</v>
      </c>
      <c r="I34" s="131"/>
    </row>
    <row r="35" spans="1:34" x14ac:dyDescent="0.3">
      <c r="B35" s="9" t="s">
        <v>206</v>
      </c>
      <c r="C35" s="164">
        <v>2.5000000000000001E-2</v>
      </c>
    </row>
    <row r="36" spans="1:34" ht="18" x14ac:dyDescent="0.35">
      <c r="A36" s="128"/>
      <c r="B36" s="9" t="s">
        <v>207</v>
      </c>
      <c r="C36" s="164">
        <v>7.51E-2</v>
      </c>
    </row>
    <row r="37" spans="1:34" x14ac:dyDescent="0.3">
      <c r="A37" s="132"/>
      <c r="B37" s="165" t="s">
        <v>142</v>
      </c>
      <c r="C37" s="166" t="s">
        <v>219</v>
      </c>
      <c r="D37" s="133">
        <f>VALUE(RIGHT($C$4,4))+1</f>
        <v>2017</v>
      </c>
      <c r="E37" s="133">
        <f>D37+1</f>
        <v>2018</v>
      </c>
      <c r="F37" s="133">
        <f t="shared" ref="F37:AG37" si="10">E37+1</f>
        <v>2019</v>
      </c>
      <c r="G37" s="133">
        <f t="shared" si="10"/>
        <v>2020</v>
      </c>
      <c r="H37" s="133">
        <f t="shared" si="10"/>
        <v>2021</v>
      </c>
      <c r="I37" s="133">
        <f t="shared" si="10"/>
        <v>2022</v>
      </c>
      <c r="J37" s="133">
        <f t="shared" si="10"/>
        <v>2023</v>
      </c>
      <c r="K37" s="133">
        <f t="shared" si="10"/>
        <v>2024</v>
      </c>
      <c r="L37" s="133">
        <f t="shared" si="10"/>
        <v>2025</v>
      </c>
      <c r="M37" s="133">
        <f t="shared" si="10"/>
        <v>2026</v>
      </c>
      <c r="N37" s="133">
        <f t="shared" si="10"/>
        <v>2027</v>
      </c>
      <c r="O37" s="133">
        <f t="shared" si="10"/>
        <v>2028</v>
      </c>
      <c r="P37" s="133">
        <f t="shared" si="10"/>
        <v>2029</v>
      </c>
      <c r="Q37" s="133">
        <f t="shared" si="10"/>
        <v>2030</v>
      </c>
      <c r="R37" s="133">
        <f t="shared" si="10"/>
        <v>2031</v>
      </c>
      <c r="S37" s="133">
        <f t="shared" si="10"/>
        <v>2032</v>
      </c>
      <c r="T37" s="133">
        <f t="shared" si="10"/>
        <v>2033</v>
      </c>
      <c r="U37" s="133">
        <f t="shared" si="10"/>
        <v>2034</v>
      </c>
      <c r="V37" s="133">
        <f t="shared" si="10"/>
        <v>2035</v>
      </c>
      <c r="W37" s="133">
        <f t="shared" si="10"/>
        <v>2036</v>
      </c>
      <c r="X37" s="133">
        <f t="shared" si="10"/>
        <v>2037</v>
      </c>
      <c r="Y37" s="133">
        <f t="shared" si="10"/>
        <v>2038</v>
      </c>
      <c r="Z37" s="133">
        <f t="shared" si="10"/>
        <v>2039</v>
      </c>
      <c r="AA37" s="133">
        <f t="shared" si="10"/>
        <v>2040</v>
      </c>
      <c r="AB37" s="133">
        <f t="shared" si="10"/>
        <v>2041</v>
      </c>
      <c r="AC37" s="133">
        <f t="shared" si="10"/>
        <v>2042</v>
      </c>
      <c r="AD37" s="133">
        <f t="shared" si="10"/>
        <v>2043</v>
      </c>
      <c r="AE37" s="133">
        <f t="shared" si="10"/>
        <v>2044</v>
      </c>
      <c r="AF37" s="133">
        <f t="shared" si="10"/>
        <v>2045</v>
      </c>
      <c r="AG37" s="133">
        <f t="shared" si="10"/>
        <v>2046</v>
      </c>
    </row>
    <row r="38" spans="1:34" x14ac:dyDescent="0.3">
      <c r="A38" s="132"/>
      <c r="B38" s="165" t="s">
        <v>208</v>
      </c>
      <c r="C38" s="134">
        <v>0</v>
      </c>
      <c r="D38" s="134">
        <f>C38+1</f>
        <v>1</v>
      </c>
      <c r="E38" s="134">
        <f t="shared" ref="E38:AG38" si="11">D38+1</f>
        <v>2</v>
      </c>
      <c r="F38" s="134">
        <f t="shared" si="11"/>
        <v>3</v>
      </c>
      <c r="G38" s="134">
        <f t="shared" si="11"/>
        <v>4</v>
      </c>
      <c r="H38" s="134">
        <f t="shared" si="11"/>
        <v>5</v>
      </c>
      <c r="I38" s="134">
        <f t="shared" si="11"/>
        <v>6</v>
      </c>
      <c r="J38" s="134">
        <f t="shared" si="11"/>
        <v>7</v>
      </c>
      <c r="K38" s="134">
        <f t="shared" si="11"/>
        <v>8</v>
      </c>
      <c r="L38" s="134">
        <f t="shared" si="11"/>
        <v>9</v>
      </c>
      <c r="M38" s="134">
        <f t="shared" si="11"/>
        <v>10</v>
      </c>
      <c r="N38" s="134">
        <f t="shared" si="11"/>
        <v>11</v>
      </c>
      <c r="O38" s="134">
        <f t="shared" si="11"/>
        <v>12</v>
      </c>
      <c r="P38" s="134">
        <f t="shared" si="11"/>
        <v>13</v>
      </c>
      <c r="Q38" s="134">
        <f t="shared" si="11"/>
        <v>14</v>
      </c>
      <c r="R38" s="134">
        <f t="shared" si="11"/>
        <v>15</v>
      </c>
      <c r="S38" s="134">
        <f t="shared" si="11"/>
        <v>16</v>
      </c>
      <c r="T38" s="134">
        <f t="shared" si="11"/>
        <v>17</v>
      </c>
      <c r="U38" s="134">
        <f t="shared" si="11"/>
        <v>18</v>
      </c>
      <c r="V38" s="134">
        <f t="shared" si="11"/>
        <v>19</v>
      </c>
      <c r="W38" s="134">
        <f t="shared" si="11"/>
        <v>20</v>
      </c>
      <c r="X38" s="134">
        <f t="shared" si="11"/>
        <v>21</v>
      </c>
      <c r="Y38" s="134">
        <f t="shared" si="11"/>
        <v>22</v>
      </c>
      <c r="Z38" s="134">
        <f t="shared" si="11"/>
        <v>23</v>
      </c>
      <c r="AA38" s="134">
        <f t="shared" si="11"/>
        <v>24</v>
      </c>
      <c r="AB38" s="134">
        <f t="shared" si="11"/>
        <v>25</v>
      </c>
      <c r="AC38" s="134">
        <f t="shared" si="11"/>
        <v>26</v>
      </c>
      <c r="AD38" s="134">
        <f t="shared" si="11"/>
        <v>27</v>
      </c>
      <c r="AE38" s="134">
        <f t="shared" si="11"/>
        <v>28</v>
      </c>
      <c r="AF38" s="134">
        <f t="shared" si="11"/>
        <v>29</v>
      </c>
      <c r="AG38" s="134">
        <f t="shared" si="11"/>
        <v>30</v>
      </c>
      <c r="AH38" s="97" t="s">
        <v>132</v>
      </c>
    </row>
    <row r="39" spans="1:34" ht="21" x14ac:dyDescent="0.4">
      <c r="A39" s="167" t="s">
        <v>120</v>
      </c>
      <c r="B39" s="168"/>
      <c r="C39" s="168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</row>
    <row r="40" spans="1:34" ht="15.6" x14ac:dyDescent="0.3">
      <c r="A40" s="135" t="s">
        <v>210</v>
      </c>
      <c r="B40" s="169">
        <v>2015</v>
      </c>
      <c r="C40" s="137"/>
      <c r="D40" s="170">
        <v>267464.58453955903</v>
      </c>
      <c r="E40" s="170">
        <v>308014.58453955903</v>
      </c>
      <c r="F40" s="170">
        <v>308014.58453955903</v>
      </c>
      <c r="G40" s="170">
        <v>308014.58453955903</v>
      </c>
      <c r="H40" s="170">
        <v>308014.58453955903</v>
      </c>
      <c r="I40" s="170">
        <v>377403.02129211841</v>
      </c>
      <c r="J40" s="170">
        <v>385355.24561869894</v>
      </c>
      <c r="K40" s="170">
        <v>387792.15451475559</v>
      </c>
      <c r="L40" s="170">
        <v>384762.44685837266</v>
      </c>
      <c r="M40" s="170">
        <v>377955.51499524963</v>
      </c>
      <c r="N40" s="170">
        <v>370137.73502567981</v>
      </c>
      <c r="O40" s="170">
        <v>364049.07216408232</v>
      </c>
      <c r="P40" s="170">
        <v>361331.26611425285</v>
      </c>
      <c r="Q40" s="170">
        <v>362067.45895934512</v>
      </c>
      <c r="R40" s="170">
        <v>365103.05711271329</v>
      </c>
      <c r="S40" s="170">
        <v>368822.54628603277</v>
      </c>
      <c r="T40" s="170">
        <v>371874.84438236896</v>
      </c>
      <c r="U40" s="170">
        <v>378538.01921188482</v>
      </c>
      <c r="V40" s="170">
        <v>373725.0493572331</v>
      </c>
      <c r="W40" s="170">
        <v>372793.67165753641</v>
      </c>
      <c r="X40" s="170">
        <v>371308.29474749276</v>
      </c>
      <c r="Y40" s="170">
        <v>369829.93196782516</v>
      </c>
      <c r="Z40" s="170">
        <v>368765.43203005008</v>
      </c>
      <c r="AA40" s="170">
        <v>368291.34151611564</v>
      </c>
      <c r="AB40" s="170">
        <v>368355.21525163832</v>
      </c>
      <c r="AC40" s="170">
        <v>368739.42339894269</v>
      </c>
      <c r="AD40" s="170">
        <v>354540.93721202842</v>
      </c>
      <c r="AE40" s="170">
        <v>339610.79335959372</v>
      </c>
      <c r="AF40" s="170">
        <v>315631.08553652227</v>
      </c>
      <c r="AG40" s="171">
        <v>285823.57769413816</v>
      </c>
      <c r="AH40" s="172">
        <f>SUM(D40:AG40)</f>
        <v>10612130.058962462</v>
      </c>
    </row>
    <row r="41" spans="1:34" ht="15.6" x14ac:dyDescent="0.3">
      <c r="A41" s="140" t="s">
        <v>210</v>
      </c>
      <c r="B41" s="173">
        <f>VALUE(RIGHT($C$4,4))</f>
        <v>2016</v>
      </c>
      <c r="C41" s="142"/>
      <c r="D41" s="142">
        <f>D40*(1+$C$2)^($B41-$B40)</f>
        <v>274151.19915304799</v>
      </c>
      <c r="E41" s="142">
        <f t="shared" ref="E41:AG41" si="12">E40*(1+$C$2)^($B41-$B40)</f>
        <v>315714.94915304799</v>
      </c>
      <c r="F41" s="142">
        <f t="shared" si="12"/>
        <v>315714.94915304799</v>
      </c>
      <c r="G41" s="142">
        <f t="shared" si="12"/>
        <v>315714.94915304799</v>
      </c>
      <c r="H41" s="142">
        <f t="shared" si="12"/>
        <v>315714.94915304799</v>
      </c>
      <c r="I41" s="142">
        <f t="shared" si="12"/>
        <v>386838.09682442131</v>
      </c>
      <c r="J41" s="142">
        <f t="shared" si="12"/>
        <v>394989.12675916636</v>
      </c>
      <c r="K41" s="142">
        <f t="shared" si="12"/>
        <v>397486.95837762445</v>
      </c>
      <c r="L41" s="142">
        <f t="shared" si="12"/>
        <v>394381.50802983192</v>
      </c>
      <c r="M41" s="142">
        <f t="shared" si="12"/>
        <v>387404.40287013084</v>
      </c>
      <c r="N41" s="142">
        <f t="shared" si="12"/>
        <v>379391.17840132175</v>
      </c>
      <c r="O41" s="142">
        <f t="shared" si="12"/>
        <v>373150.29896818433</v>
      </c>
      <c r="P41" s="142">
        <f t="shared" si="12"/>
        <v>370364.54776710912</v>
      </c>
      <c r="Q41" s="142">
        <f t="shared" si="12"/>
        <v>371119.1454333287</v>
      </c>
      <c r="R41" s="142">
        <f t="shared" si="12"/>
        <v>374230.6335405311</v>
      </c>
      <c r="S41" s="142">
        <f t="shared" si="12"/>
        <v>378043.10994318355</v>
      </c>
      <c r="T41" s="142">
        <f t="shared" si="12"/>
        <v>381171.71549192816</v>
      </c>
      <c r="U41" s="142">
        <f t="shared" si="12"/>
        <v>388001.46969218191</v>
      </c>
      <c r="V41" s="142">
        <f t="shared" si="12"/>
        <v>383068.17559116392</v>
      </c>
      <c r="W41" s="142">
        <f t="shared" si="12"/>
        <v>382113.51344897482</v>
      </c>
      <c r="X41" s="142">
        <f t="shared" si="12"/>
        <v>380591.00211618003</v>
      </c>
      <c r="Y41" s="142">
        <f t="shared" si="12"/>
        <v>379075.68026702077</v>
      </c>
      <c r="Z41" s="142">
        <f t="shared" si="12"/>
        <v>377984.5678308013</v>
      </c>
      <c r="AA41" s="142">
        <f t="shared" si="12"/>
        <v>377498.62505401851</v>
      </c>
      <c r="AB41" s="142">
        <f t="shared" si="12"/>
        <v>377564.09563292924</v>
      </c>
      <c r="AC41" s="142">
        <f t="shared" si="12"/>
        <v>377957.90898391622</v>
      </c>
      <c r="AD41" s="142">
        <f t="shared" si="12"/>
        <v>363404.46064232913</v>
      </c>
      <c r="AE41" s="142">
        <f t="shared" si="12"/>
        <v>348101.06319358351</v>
      </c>
      <c r="AF41" s="142">
        <f t="shared" si="12"/>
        <v>323521.86267493531</v>
      </c>
      <c r="AG41" s="143">
        <f t="shared" si="12"/>
        <v>292969.16713649157</v>
      </c>
      <c r="AH41" s="139"/>
    </row>
    <row r="42" spans="1:34" ht="15.6" x14ac:dyDescent="0.3">
      <c r="A42" s="144" t="s">
        <v>210</v>
      </c>
      <c r="B42" s="145" t="s">
        <v>125</v>
      </c>
      <c r="C42" s="146"/>
      <c r="D42" s="146">
        <f>D40*(1+$C$2)^(D$4-$B40)</f>
        <v>281004.97913187416</v>
      </c>
      <c r="E42" s="146">
        <f>E40*(1+$C$2)^(E$4-$B40)</f>
        <v>331698.01845392102</v>
      </c>
      <c r="F42" s="146">
        <f t="shared" ref="F42:AG42" si="13">F40*(1+$C$2)^(F$4-$B40)</f>
        <v>339990.46891526901</v>
      </c>
      <c r="G42" s="146">
        <f t="shared" si="13"/>
        <v>348490.23063815071</v>
      </c>
      <c r="H42" s="146">
        <f t="shared" si="13"/>
        <v>357202.48640410445</v>
      </c>
      <c r="I42" s="146">
        <f t="shared" si="13"/>
        <v>448613.59480128222</v>
      </c>
      <c r="J42" s="146">
        <f t="shared" si="13"/>
        <v>469517.94783246884</v>
      </c>
      <c r="K42" s="146">
        <f t="shared" si="13"/>
        <v>484299.26180970162</v>
      </c>
      <c r="L42" s="146">
        <f t="shared" si="13"/>
        <v>492528.46141057502</v>
      </c>
      <c r="M42" s="146">
        <f t="shared" si="13"/>
        <v>495910.38846767333</v>
      </c>
      <c r="N42" s="146">
        <f t="shared" si="13"/>
        <v>497794.10326787416</v>
      </c>
      <c r="O42" s="146">
        <f t="shared" si="13"/>
        <v>501845.66684647585</v>
      </c>
      <c r="P42" s="146">
        <f t="shared" si="13"/>
        <v>510551.61971874454</v>
      </c>
      <c r="Q42" s="146">
        <f t="shared" si="13"/>
        <v>524381.63695944939</v>
      </c>
      <c r="R42" s="146">
        <f t="shared" si="13"/>
        <v>541997.5404041775</v>
      </c>
      <c r="S42" s="146">
        <f t="shared" si="13"/>
        <v>561207.1215626552</v>
      </c>
      <c r="T42" s="146">
        <f t="shared" si="13"/>
        <v>579997.84293671127</v>
      </c>
      <c r="U42" s="146">
        <f t="shared" si="13"/>
        <v>605149.87468834745</v>
      </c>
      <c r="V42" s="146">
        <f t="shared" si="13"/>
        <v>612392.01002510171</v>
      </c>
      <c r="W42" s="146">
        <f t="shared" si="13"/>
        <v>626137.4851946152</v>
      </c>
      <c r="X42" s="146">
        <f t="shared" si="13"/>
        <v>639233.73992152361</v>
      </c>
      <c r="Y42" s="146">
        <f t="shared" si="13"/>
        <v>652605.8486659209</v>
      </c>
      <c r="Z42" s="146">
        <f t="shared" si="13"/>
        <v>666995.606221786</v>
      </c>
      <c r="AA42" s="146">
        <f t="shared" si="13"/>
        <v>682791.55906695127</v>
      </c>
      <c r="AB42" s="146">
        <f t="shared" si="13"/>
        <v>699982.72683701036</v>
      </c>
      <c r="AC42" s="146">
        <f t="shared" si="13"/>
        <v>718230.65564428584</v>
      </c>
      <c r="AD42" s="146">
        <f t="shared" si="13"/>
        <v>707839.21508932568</v>
      </c>
      <c r="AE42" s="146">
        <f t="shared" si="13"/>
        <v>694982.03869007668</v>
      </c>
      <c r="AF42" s="146">
        <f t="shared" si="13"/>
        <v>662057.53197179979</v>
      </c>
      <c r="AG42" s="147">
        <f t="shared" si="13"/>
        <v>614522.62665609864</v>
      </c>
    </row>
    <row r="43" spans="1:34" ht="15.6" x14ac:dyDescent="0.3">
      <c r="A43" s="135" t="s">
        <v>212</v>
      </c>
      <c r="B43" s="169">
        <f>B40</f>
        <v>2015</v>
      </c>
      <c r="C43" s="148"/>
      <c r="D43" s="174">
        <f t="shared" ref="D43:AG45" si="14">D40/$C$1/1000</f>
        <v>3.6143862775616085</v>
      </c>
      <c r="E43" s="148">
        <f t="shared" si="14"/>
        <v>4.162359250534581</v>
      </c>
      <c r="F43" s="148">
        <f t="shared" si="14"/>
        <v>4.162359250534581</v>
      </c>
      <c r="G43" s="148">
        <f t="shared" si="14"/>
        <v>4.162359250534581</v>
      </c>
      <c r="H43" s="148">
        <f t="shared" si="14"/>
        <v>4.162359250534581</v>
      </c>
      <c r="I43" s="148">
        <f t="shared" si="14"/>
        <v>5.1000408282718706</v>
      </c>
      <c r="J43" s="148">
        <f t="shared" si="14"/>
        <v>5.2075033191716074</v>
      </c>
      <c r="K43" s="148">
        <f t="shared" si="14"/>
        <v>5.2404345204696705</v>
      </c>
      <c r="L43" s="148">
        <f t="shared" si="14"/>
        <v>5.1994925251131443</v>
      </c>
      <c r="M43" s="148">
        <f t="shared" si="14"/>
        <v>5.1075069593952644</v>
      </c>
      <c r="N43" s="148">
        <f t="shared" si="14"/>
        <v>5.0018612841308085</v>
      </c>
      <c r="O43" s="148">
        <f t="shared" si="14"/>
        <v>4.9195820562713823</v>
      </c>
      <c r="P43" s="148">
        <f t="shared" si="14"/>
        <v>4.8828549474899035</v>
      </c>
      <c r="Q43" s="148">
        <f t="shared" si="14"/>
        <v>4.8928034994506096</v>
      </c>
      <c r="R43" s="148">
        <f t="shared" si="14"/>
        <v>4.9338250961177472</v>
      </c>
      <c r="S43" s="148">
        <f t="shared" si="14"/>
        <v>4.9840884633247668</v>
      </c>
      <c r="T43" s="148">
        <f t="shared" si="14"/>
        <v>5.0253357348968777</v>
      </c>
      <c r="U43" s="148">
        <f t="shared" si="14"/>
        <v>5.1153786379984432</v>
      </c>
      <c r="V43" s="148">
        <f t="shared" si="14"/>
        <v>5.050338504827474</v>
      </c>
      <c r="W43" s="148">
        <f t="shared" si="14"/>
        <v>5.0377523196964376</v>
      </c>
      <c r="X43" s="148">
        <f t="shared" si="14"/>
        <v>5.017679658749902</v>
      </c>
      <c r="Y43" s="148">
        <f t="shared" si="14"/>
        <v>4.9977017833489894</v>
      </c>
      <c r="Z43" s="148">
        <f t="shared" si="14"/>
        <v>4.9833166490547312</v>
      </c>
      <c r="AA43" s="148">
        <f t="shared" si="14"/>
        <v>4.9769100204880496</v>
      </c>
      <c r="AB43" s="148">
        <f t="shared" si="14"/>
        <v>4.9777731790761939</v>
      </c>
      <c r="AC43" s="148">
        <f t="shared" si="14"/>
        <v>4.9829651810667928</v>
      </c>
      <c r="AD43" s="148">
        <f t="shared" si="14"/>
        <v>4.7910937461084924</v>
      </c>
      <c r="AE43" s="148">
        <f t="shared" si="14"/>
        <v>4.5893350453999151</v>
      </c>
      <c r="AF43" s="148">
        <f t="shared" si="14"/>
        <v>4.2652849396827328</v>
      </c>
      <c r="AG43" s="150">
        <f t="shared" si="14"/>
        <v>3.8624807796505154</v>
      </c>
    </row>
    <row r="44" spans="1:34" ht="15.6" x14ac:dyDescent="0.3">
      <c r="A44" s="140" t="s">
        <v>212</v>
      </c>
      <c r="B44" s="173">
        <f>B41</f>
        <v>2016</v>
      </c>
      <c r="C44" s="151"/>
      <c r="D44" s="175">
        <f t="shared" si="14"/>
        <v>3.7047459345006488</v>
      </c>
      <c r="E44" s="151">
        <f t="shared" si="14"/>
        <v>4.266418231797946</v>
      </c>
      <c r="F44" s="151">
        <f t="shared" si="14"/>
        <v>4.266418231797946</v>
      </c>
      <c r="G44" s="151">
        <f t="shared" si="14"/>
        <v>4.266418231797946</v>
      </c>
      <c r="H44" s="151">
        <f t="shared" si="14"/>
        <v>4.266418231797946</v>
      </c>
      <c r="I44" s="151">
        <f t="shared" si="14"/>
        <v>5.2275418489786665</v>
      </c>
      <c r="J44" s="151">
        <f t="shared" si="14"/>
        <v>5.3376909021508965</v>
      </c>
      <c r="K44" s="151">
        <f t="shared" si="14"/>
        <v>5.3714453834814115</v>
      </c>
      <c r="L44" s="151">
        <f t="shared" si="14"/>
        <v>5.3294798382409718</v>
      </c>
      <c r="M44" s="151">
        <f t="shared" si="14"/>
        <v>5.2351946333801465</v>
      </c>
      <c r="N44" s="151">
        <f t="shared" si="14"/>
        <v>5.1269078162340778</v>
      </c>
      <c r="O44" s="151">
        <f t="shared" si="14"/>
        <v>5.0425716076781661</v>
      </c>
      <c r="P44" s="151">
        <f t="shared" si="14"/>
        <v>5.00492632117715</v>
      </c>
      <c r="Q44" s="151">
        <f t="shared" si="14"/>
        <v>5.0151235869368742</v>
      </c>
      <c r="R44" s="151">
        <f t="shared" si="14"/>
        <v>5.0571707235206906</v>
      </c>
      <c r="S44" s="151">
        <f t="shared" si="14"/>
        <v>5.1086906749078862</v>
      </c>
      <c r="T44" s="151">
        <f t="shared" si="14"/>
        <v>5.1509691282692991</v>
      </c>
      <c r="U44" s="151">
        <f t="shared" si="14"/>
        <v>5.2432631039484043</v>
      </c>
      <c r="V44" s="151">
        <f t="shared" si="14"/>
        <v>5.1765969674481616</v>
      </c>
      <c r="W44" s="151">
        <f t="shared" si="14"/>
        <v>5.1636961276888487</v>
      </c>
      <c r="X44" s="151">
        <f t="shared" si="14"/>
        <v>5.1431216502186485</v>
      </c>
      <c r="Y44" s="151">
        <f t="shared" si="14"/>
        <v>5.1226443279327132</v>
      </c>
      <c r="Z44" s="151">
        <f t="shared" si="14"/>
        <v>5.107899565281099</v>
      </c>
      <c r="AA44" s="151">
        <f t="shared" si="14"/>
        <v>5.1013327710002505</v>
      </c>
      <c r="AB44" s="151">
        <f t="shared" si="14"/>
        <v>5.1022175085530979</v>
      </c>
      <c r="AC44" s="151">
        <f t="shared" si="14"/>
        <v>5.107539310593463</v>
      </c>
      <c r="AD44" s="151">
        <f t="shared" si="14"/>
        <v>4.9108710897612049</v>
      </c>
      <c r="AE44" s="151">
        <f t="shared" si="14"/>
        <v>4.7040684215349122</v>
      </c>
      <c r="AF44" s="151">
        <f t="shared" si="14"/>
        <v>4.3719170631748012</v>
      </c>
      <c r="AG44" s="152">
        <f t="shared" si="14"/>
        <v>3.9590427991417778</v>
      </c>
    </row>
    <row r="45" spans="1:34" ht="15.6" x14ac:dyDescent="0.3">
      <c r="A45" s="144" t="s">
        <v>212</v>
      </c>
      <c r="B45" s="145" t="s">
        <v>125</v>
      </c>
      <c r="C45" s="153"/>
      <c r="D45" s="176">
        <f t="shared" si="14"/>
        <v>3.7973645828631644</v>
      </c>
      <c r="E45" s="153">
        <f t="shared" si="14"/>
        <v>4.4824056547827169</v>
      </c>
      <c r="F45" s="153">
        <f t="shared" si="14"/>
        <v>4.5944657961522841</v>
      </c>
      <c r="G45" s="153">
        <f t="shared" si="14"/>
        <v>4.7093274410560904</v>
      </c>
      <c r="H45" s="153">
        <f t="shared" si="14"/>
        <v>4.8270606270824929</v>
      </c>
      <c r="I45" s="153">
        <f t="shared" si="14"/>
        <v>6.0623458756930031</v>
      </c>
      <c r="J45" s="153">
        <f t="shared" si="14"/>
        <v>6.3448371328712003</v>
      </c>
      <c r="K45" s="153">
        <f t="shared" si="14"/>
        <v>6.5445846190500214</v>
      </c>
      <c r="L45" s="153">
        <f t="shared" si="14"/>
        <v>6.6557900190618247</v>
      </c>
      <c r="M45" s="153">
        <f t="shared" si="14"/>
        <v>6.7014917360496389</v>
      </c>
      <c r="N45" s="153">
        <f t="shared" si="14"/>
        <v>6.726947341457759</v>
      </c>
      <c r="O45" s="153">
        <f t="shared" si="14"/>
        <v>6.7816982006280524</v>
      </c>
      <c r="P45" s="153">
        <f t="shared" si="14"/>
        <v>6.899346212415467</v>
      </c>
      <c r="Q45" s="153">
        <f t="shared" si="14"/>
        <v>7.0862383372898563</v>
      </c>
      <c r="R45" s="153">
        <f t="shared" si="14"/>
        <v>7.3242910865429396</v>
      </c>
      <c r="S45" s="153">
        <f t="shared" si="14"/>
        <v>7.5838800211169621</v>
      </c>
      <c r="T45" s="153">
        <f t="shared" si="14"/>
        <v>7.8378086883339364</v>
      </c>
      <c r="U45" s="153">
        <f t="shared" si="14"/>
        <v>8.1777010093019928</v>
      </c>
      <c r="V45" s="153">
        <f t="shared" si="14"/>
        <v>8.275567703041915</v>
      </c>
      <c r="W45" s="153">
        <f t="shared" si="14"/>
        <v>8.4613173674948001</v>
      </c>
      <c r="X45" s="153">
        <f t="shared" si="14"/>
        <v>8.6382937827232933</v>
      </c>
      <c r="Y45" s="153">
        <f t="shared" si="14"/>
        <v>8.8189979549448765</v>
      </c>
      <c r="Z45" s="153">
        <f t="shared" si="14"/>
        <v>9.0134541381322428</v>
      </c>
      <c r="AA45" s="153">
        <f t="shared" si="14"/>
        <v>9.2269129603642064</v>
      </c>
      <c r="AB45" s="153">
        <f t="shared" si="14"/>
        <v>9.4592260383379774</v>
      </c>
      <c r="AC45" s="153">
        <f t="shared" si="14"/>
        <v>9.7058196708687277</v>
      </c>
      <c r="AD45" s="153">
        <f t="shared" si="14"/>
        <v>9.5653947985044017</v>
      </c>
      <c r="AE45" s="153">
        <f t="shared" si="14"/>
        <v>9.3916491714875221</v>
      </c>
      <c r="AF45" s="153">
        <f t="shared" si="14"/>
        <v>8.9467234050243221</v>
      </c>
      <c r="AG45" s="154">
        <f t="shared" si="14"/>
        <v>8.3043598196770088</v>
      </c>
    </row>
    <row r="46" spans="1:34" ht="15.6" x14ac:dyDescent="0.3">
      <c r="A46" s="135" t="s">
        <v>220</v>
      </c>
      <c r="B46" s="169">
        <f>B43</f>
        <v>2015</v>
      </c>
      <c r="C46" s="148"/>
      <c r="D46" s="174">
        <f>AVERAGE($D43:$AG43)</f>
        <v>4.7802387652984093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50"/>
    </row>
    <row r="47" spans="1:34" ht="15.6" x14ac:dyDescent="0.3">
      <c r="A47" s="140" t="s">
        <v>220</v>
      </c>
      <c r="B47" s="177">
        <f>B44</f>
        <v>2016</v>
      </c>
      <c r="C47" s="178"/>
      <c r="D47" s="179">
        <f>AVERAGE($D44:$AG44)</f>
        <v>4.8997447344308682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2"/>
    </row>
    <row r="48" spans="1:34" ht="15.6" x14ac:dyDescent="0.3">
      <c r="A48" s="140" t="s">
        <v>220</v>
      </c>
      <c r="B48" s="145" t="s">
        <v>125</v>
      </c>
      <c r="C48" s="153"/>
      <c r="D48" s="176">
        <f>AVERAGE($D45:$AG45)</f>
        <v>7.3648433730783571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4"/>
    </row>
    <row r="49" spans="1:33" ht="15.6" x14ac:dyDescent="0.3">
      <c r="A49" s="180" t="s">
        <v>214</v>
      </c>
      <c r="B49" s="181">
        <f>B41</f>
        <v>2016</v>
      </c>
      <c r="C49" s="182"/>
      <c r="D49" s="183">
        <f>NPV($C$3,$D42:$AG42)/1000000</f>
        <v>5.5773992804114405</v>
      </c>
      <c r="E49" s="184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6"/>
    </row>
    <row r="50" spans="1:33" ht="21" x14ac:dyDescent="0.4">
      <c r="A50" s="167" t="s">
        <v>221</v>
      </c>
      <c r="B50" s="168"/>
      <c r="C50" s="168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</row>
    <row r="51" spans="1:33" ht="15.6" x14ac:dyDescent="0.3">
      <c r="A51" s="135" t="s">
        <v>222</v>
      </c>
      <c r="B51" s="169">
        <f ca="1">YEAR(NOW())</f>
        <v>2016</v>
      </c>
      <c r="C51" s="170">
        <v>245300</v>
      </c>
      <c r="D51" s="170">
        <v>0</v>
      </c>
      <c r="E51" s="170"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9600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9600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0</v>
      </c>
      <c r="AD51" s="170">
        <v>0</v>
      </c>
      <c r="AE51" s="170">
        <v>0</v>
      </c>
      <c r="AF51" s="170">
        <v>0</v>
      </c>
      <c r="AG51" s="171">
        <v>0</v>
      </c>
    </row>
    <row r="52" spans="1:33" ht="15.6" x14ac:dyDescent="0.3">
      <c r="A52" s="140" t="s">
        <v>222</v>
      </c>
      <c r="B52" s="173">
        <f>VALUE(RIGHT($C$4,4))</f>
        <v>2016</v>
      </c>
      <c r="C52" s="142">
        <f ca="1">C51*(1+$C$2)^($B52-$B51)</f>
        <v>245300</v>
      </c>
      <c r="D52" s="142">
        <f ca="1">D51*(1+$C$2)^($B52-$B51)</f>
        <v>0</v>
      </c>
      <c r="E52" s="142">
        <f ca="1">E51*(1+$C$2)^($B52-$B51)</f>
        <v>0</v>
      </c>
      <c r="F52" s="142">
        <f t="shared" ref="F52:AG52" ca="1" si="15">F51*(1+$C$2)^($B52-$B51)</f>
        <v>0</v>
      </c>
      <c r="G52" s="142">
        <f t="shared" ca="1" si="15"/>
        <v>0</v>
      </c>
      <c r="H52" s="142">
        <f t="shared" ca="1" si="15"/>
        <v>0</v>
      </c>
      <c r="I52" s="142">
        <f t="shared" ca="1" si="15"/>
        <v>0</v>
      </c>
      <c r="J52" s="142">
        <f t="shared" ca="1" si="15"/>
        <v>0</v>
      </c>
      <c r="K52" s="142">
        <f t="shared" ca="1" si="15"/>
        <v>9600</v>
      </c>
      <c r="L52" s="142">
        <f t="shared" ca="1" si="15"/>
        <v>0</v>
      </c>
      <c r="M52" s="142">
        <f t="shared" ca="1" si="15"/>
        <v>0</v>
      </c>
      <c r="N52" s="142">
        <f t="shared" ca="1" si="15"/>
        <v>0</v>
      </c>
      <c r="O52" s="142">
        <f t="shared" ca="1" si="15"/>
        <v>0</v>
      </c>
      <c r="P52" s="142">
        <f t="shared" ca="1" si="15"/>
        <v>0</v>
      </c>
      <c r="Q52" s="142">
        <f t="shared" ca="1" si="15"/>
        <v>0</v>
      </c>
      <c r="R52" s="142">
        <f t="shared" ca="1" si="15"/>
        <v>0</v>
      </c>
      <c r="S52" s="142">
        <f t="shared" ca="1" si="15"/>
        <v>9600</v>
      </c>
      <c r="T52" s="142">
        <f t="shared" ca="1" si="15"/>
        <v>0</v>
      </c>
      <c r="U52" s="142">
        <f t="shared" ca="1" si="15"/>
        <v>0</v>
      </c>
      <c r="V52" s="142">
        <f t="shared" ca="1" si="15"/>
        <v>0</v>
      </c>
      <c r="W52" s="142">
        <f t="shared" ca="1" si="15"/>
        <v>0</v>
      </c>
      <c r="X52" s="142">
        <f t="shared" ca="1" si="15"/>
        <v>0</v>
      </c>
      <c r="Y52" s="142">
        <f t="shared" ca="1" si="15"/>
        <v>0</v>
      </c>
      <c r="Z52" s="142">
        <f t="shared" ca="1" si="15"/>
        <v>0</v>
      </c>
      <c r="AA52" s="142">
        <f t="shared" ca="1" si="15"/>
        <v>0</v>
      </c>
      <c r="AB52" s="142">
        <f t="shared" ca="1" si="15"/>
        <v>0</v>
      </c>
      <c r="AC52" s="142">
        <f t="shared" ca="1" si="15"/>
        <v>0</v>
      </c>
      <c r="AD52" s="142">
        <f t="shared" ca="1" si="15"/>
        <v>0</v>
      </c>
      <c r="AE52" s="142">
        <f t="shared" ca="1" si="15"/>
        <v>0</v>
      </c>
      <c r="AF52" s="142">
        <f t="shared" ca="1" si="15"/>
        <v>0</v>
      </c>
      <c r="AG52" s="143">
        <f t="shared" ca="1" si="15"/>
        <v>0</v>
      </c>
    </row>
    <row r="53" spans="1:33" ht="15.6" x14ac:dyDescent="0.3">
      <c r="A53" s="144" t="s">
        <v>222</v>
      </c>
      <c r="B53" s="145" t="s">
        <v>125</v>
      </c>
      <c r="C53" s="146">
        <f ca="1">C51*(1+$C$2)^($B$19-$B51)</f>
        <v>245300</v>
      </c>
      <c r="D53" s="146">
        <f t="shared" ref="D53:AG53" ca="1" si="16">D51*(1+$C$2)^(D$4-$B51)</f>
        <v>0</v>
      </c>
      <c r="E53" s="146">
        <f t="shared" ca="1" si="16"/>
        <v>0</v>
      </c>
      <c r="F53" s="146">
        <f t="shared" ca="1" si="16"/>
        <v>0</v>
      </c>
      <c r="G53" s="146">
        <f t="shared" ca="1" si="16"/>
        <v>0</v>
      </c>
      <c r="H53" s="146">
        <f t="shared" ca="1" si="16"/>
        <v>0</v>
      </c>
      <c r="I53" s="146">
        <f t="shared" ca="1" si="16"/>
        <v>0</v>
      </c>
      <c r="J53" s="146">
        <f t="shared" ca="1" si="16"/>
        <v>0</v>
      </c>
      <c r="K53" s="146">
        <f t="shared" ca="1" si="16"/>
        <v>11696.667816095211</v>
      </c>
      <c r="L53" s="146">
        <f t="shared" ca="1" si="16"/>
        <v>0</v>
      </c>
      <c r="M53" s="146">
        <f t="shared" ca="1" si="16"/>
        <v>0</v>
      </c>
      <c r="N53" s="146">
        <f t="shared" ca="1" si="16"/>
        <v>0</v>
      </c>
      <c r="O53" s="146">
        <f t="shared" ca="1" si="16"/>
        <v>0</v>
      </c>
      <c r="P53" s="146">
        <f t="shared" ca="1" si="16"/>
        <v>0</v>
      </c>
      <c r="Q53" s="146">
        <f t="shared" ca="1" si="16"/>
        <v>0</v>
      </c>
      <c r="R53" s="146">
        <f t="shared" ca="1" si="16"/>
        <v>0</v>
      </c>
      <c r="S53" s="146">
        <f t="shared" ca="1" si="16"/>
        <v>14251.253958341405</v>
      </c>
      <c r="T53" s="146">
        <f t="shared" ca="1" si="16"/>
        <v>0</v>
      </c>
      <c r="U53" s="146">
        <f t="shared" ca="1" si="16"/>
        <v>0</v>
      </c>
      <c r="V53" s="146">
        <f t="shared" ca="1" si="16"/>
        <v>0</v>
      </c>
      <c r="W53" s="146">
        <f t="shared" ca="1" si="16"/>
        <v>0</v>
      </c>
      <c r="X53" s="146">
        <f t="shared" ca="1" si="16"/>
        <v>0</v>
      </c>
      <c r="Y53" s="146">
        <f t="shared" ca="1" si="16"/>
        <v>0</v>
      </c>
      <c r="Z53" s="146">
        <f t="shared" ca="1" si="16"/>
        <v>0</v>
      </c>
      <c r="AA53" s="146">
        <f t="shared" ca="1" si="16"/>
        <v>0</v>
      </c>
      <c r="AB53" s="146">
        <f t="shared" ca="1" si="16"/>
        <v>0</v>
      </c>
      <c r="AC53" s="146">
        <f t="shared" ca="1" si="16"/>
        <v>0</v>
      </c>
      <c r="AD53" s="146">
        <f t="shared" ca="1" si="16"/>
        <v>0</v>
      </c>
      <c r="AE53" s="146">
        <f t="shared" ca="1" si="16"/>
        <v>0</v>
      </c>
      <c r="AF53" s="146">
        <f t="shared" ca="1" si="16"/>
        <v>0</v>
      </c>
      <c r="AG53" s="147">
        <f t="shared" ca="1" si="16"/>
        <v>0</v>
      </c>
    </row>
    <row r="54" spans="1:33" ht="15.6" x14ac:dyDescent="0.3">
      <c r="A54" s="135" t="s">
        <v>223</v>
      </c>
      <c r="B54" s="169">
        <f ca="1">B51</f>
        <v>2016</v>
      </c>
      <c r="C54" s="174">
        <f t="shared" ref="C54:AG56" si="17">C51/$C$1/1000</f>
        <v>3.3148648648648651</v>
      </c>
      <c r="D54" s="148">
        <f t="shared" si="17"/>
        <v>0</v>
      </c>
      <c r="E54" s="148">
        <f t="shared" si="17"/>
        <v>0</v>
      </c>
      <c r="F54" s="148">
        <f t="shared" si="17"/>
        <v>0</v>
      </c>
      <c r="G54" s="148">
        <f t="shared" si="17"/>
        <v>0</v>
      </c>
      <c r="H54" s="148">
        <f t="shared" si="17"/>
        <v>0</v>
      </c>
      <c r="I54" s="148">
        <f t="shared" si="17"/>
        <v>0</v>
      </c>
      <c r="J54" s="148">
        <f t="shared" si="17"/>
        <v>0</v>
      </c>
      <c r="K54" s="148">
        <f t="shared" si="17"/>
        <v>0.12972972972972974</v>
      </c>
      <c r="L54" s="148">
        <f t="shared" si="17"/>
        <v>0</v>
      </c>
      <c r="M54" s="148">
        <f t="shared" si="17"/>
        <v>0</v>
      </c>
      <c r="N54" s="148">
        <f t="shared" si="17"/>
        <v>0</v>
      </c>
      <c r="O54" s="148">
        <f t="shared" si="17"/>
        <v>0</v>
      </c>
      <c r="P54" s="148">
        <f t="shared" si="17"/>
        <v>0</v>
      </c>
      <c r="Q54" s="148">
        <f t="shared" si="17"/>
        <v>0</v>
      </c>
      <c r="R54" s="148">
        <f t="shared" si="17"/>
        <v>0</v>
      </c>
      <c r="S54" s="148">
        <f t="shared" si="17"/>
        <v>0.12972972972972974</v>
      </c>
      <c r="T54" s="148">
        <f t="shared" si="17"/>
        <v>0</v>
      </c>
      <c r="U54" s="148">
        <f t="shared" si="17"/>
        <v>0</v>
      </c>
      <c r="V54" s="148">
        <f t="shared" si="17"/>
        <v>0</v>
      </c>
      <c r="W54" s="148">
        <f t="shared" si="17"/>
        <v>0</v>
      </c>
      <c r="X54" s="148">
        <f t="shared" si="17"/>
        <v>0</v>
      </c>
      <c r="Y54" s="148">
        <f t="shared" si="17"/>
        <v>0</v>
      </c>
      <c r="Z54" s="148">
        <f t="shared" si="17"/>
        <v>0</v>
      </c>
      <c r="AA54" s="148">
        <f t="shared" si="17"/>
        <v>0</v>
      </c>
      <c r="AB54" s="148">
        <f t="shared" si="17"/>
        <v>0</v>
      </c>
      <c r="AC54" s="148">
        <f t="shared" si="17"/>
        <v>0</v>
      </c>
      <c r="AD54" s="148">
        <f t="shared" si="17"/>
        <v>0</v>
      </c>
      <c r="AE54" s="148">
        <f t="shared" si="17"/>
        <v>0</v>
      </c>
      <c r="AF54" s="148">
        <f t="shared" si="17"/>
        <v>0</v>
      </c>
      <c r="AG54" s="150">
        <f t="shared" si="17"/>
        <v>0</v>
      </c>
    </row>
    <row r="55" spans="1:33" ht="15.6" x14ac:dyDescent="0.3">
      <c r="A55" s="140" t="s">
        <v>223</v>
      </c>
      <c r="B55" s="173">
        <f>B52</f>
        <v>2016</v>
      </c>
      <c r="C55" s="175">
        <f t="shared" ca="1" si="17"/>
        <v>3.3148648648648651</v>
      </c>
      <c r="D55" s="151">
        <f t="shared" ca="1" si="17"/>
        <v>0</v>
      </c>
      <c r="E55" s="151">
        <f t="shared" ca="1" si="17"/>
        <v>0</v>
      </c>
      <c r="F55" s="151">
        <f t="shared" ca="1" si="17"/>
        <v>0</v>
      </c>
      <c r="G55" s="151">
        <f t="shared" ca="1" si="17"/>
        <v>0</v>
      </c>
      <c r="H55" s="151">
        <f t="shared" ca="1" si="17"/>
        <v>0</v>
      </c>
      <c r="I55" s="151">
        <f t="shared" ca="1" si="17"/>
        <v>0</v>
      </c>
      <c r="J55" s="151">
        <f t="shared" ca="1" si="17"/>
        <v>0</v>
      </c>
      <c r="K55" s="151">
        <f t="shared" ca="1" si="17"/>
        <v>0.12972972972972974</v>
      </c>
      <c r="L55" s="151">
        <f t="shared" ca="1" si="17"/>
        <v>0</v>
      </c>
      <c r="M55" s="151">
        <f t="shared" ca="1" si="17"/>
        <v>0</v>
      </c>
      <c r="N55" s="151">
        <f t="shared" ca="1" si="17"/>
        <v>0</v>
      </c>
      <c r="O55" s="151">
        <f t="shared" ca="1" si="17"/>
        <v>0</v>
      </c>
      <c r="P55" s="151">
        <f t="shared" ca="1" si="17"/>
        <v>0</v>
      </c>
      <c r="Q55" s="151">
        <f t="shared" ca="1" si="17"/>
        <v>0</v>
      </c>
      <c r="R55" s="151">
        <f t="shared" ca="1" si="17"/>
        <v>0</v>
      </c>
      <c r="S55" s="151">
        <f t="shared" ca="1" si="17"/>
        <v>0.12972972972972974</v>
      </c>
      <c r="T55" s="151">
        <f t="shared" ca="1" si="17"/>
        <v>0</v>
      </c>
      <c r="U55" s="151">
        <f t="shared" ca="1" si="17"/>
        <v>0</v>
      </c>
      <c r="V55" s="151">
        <f t="shared" ca="1" si="17"/>
        <v>0</v>
      </c>
      <c r="W55" s="151">
        <f t="shared" ca="1" si="17"/>
        <v>0</v>
      </c>
      <c r="X55" s="151">
        <f t="shared" ca="1" si="17"/>
        <v>0</v>
      </c>
      <c r="Y55" s="151">
        <f t="shared" ca="1" si="17"/>
        <v>0</v>
      </c>
      <c r="Z55" s="151">
        <f t="shared" ca="1" si="17"/>
        <v>0</v>
      </c>
      <c r="AA55" s="151">
        <f t="shared" ca="1" si="17"/>
        <v>0</v>
      </c>
      <c r="AB55" s="151">
        <f t="shared" ca="1" si="17"/>
        <v>0</v>
      </c>
      <c r="AC55" s="151">
        <f t="shared" ca="1" si="17"/>
        <v>0</v>
      </c>
      <c r="AD55" s="151">
        <f t="shared" ca="1" si="17"/>
        <v>0</v>
      </c>
      <c r="AE55" s="151">
        <f t="shared" ca="1" si="17"/>
        <v>0</v>
      </c>
      <c r="AF55" s="151">
        <f t="shared" ca="1" si="17"/>
        <v>0</v>
      </c>
      <c r="AG55" s="152">
        <f t="shared" ca="1" si="17"/>
        <v>0</v>
      </c>
    </row>
    <row r="56" spans="1:33" ht="15.6" x14ac:dyDescent="0.3">
      <c r="A56" s="144" t="s">
        <v>223</v>
      </c>
      <c r="B56" s="145" t="s">
        <v>125</v>
      </c>
      <c r="C56" s="176">
        <f t="shared" ca="1" si="17"/>
        <v>3.3148648648648651</v>
      </c>
      <c r="D56" s="153">
        <f t="shared" ca="1" si="17"/>
        <v>0</v>
      </c>
      <c r="E56" s="153">
        <f t="shared" ca="1" si="17"/>
        <v>0</v>
      </c>
      <c r="F56" s="153">
        <f t="shared" ca="1" si="17"/>
        <v>0</v>
      </c>
      <c r="G56" s="153">
        <f t="shared" ca="1" si="17"/>
        <v>0</v>
      </c>
      <c r="H56" s="153">
        <f t="shared" ca="1" si="17"/>
        <v>0</v>
      </c>
      <c r="I56" s="153">
        <f t="shared" ca="1" si="17"/>
        <v>0</v>
      </c>
      <c r="J56" s="153">
        <f t="shared" ca="1" si="17"/>
        <v>0</v>
      </c>
      <c r="K56" s="153">
        <f t="shared" ca="1" si="17"/>
        <v>0.15806307859588123</v>
      </c>
      <c r="L56" s="153">
        <f t="shared" ca="1" si="17"/>
        <v>0</v>
      </c>
      <c r="M56" s="153">
        <f t="shared" ca="1" si="17"/>
        <v>0</v>
      </c>
      <c r="N56" s="153">
        <f t="shared" ca="1" si="17"/>
        <v>0</v>
      </c>
      <c r="O56" s="153">
        <f t="shared" ca="1" si="17"/>
        <v>0</v>
      </c>
      <c r="P56" s="153">
        <f t="shared" ca="1" si="17"/>
        <v>0</v>
      </c>
      <c r="Q56" s="153">
        <f t="shared" ca="1" si="17"/>
        <v>0</v>
      </c>
      <c r="R56" s="153">
        <f t="shared" ca="1" si="17"/>
        <v>0</v>
      </c>
      <c r="S56" s="153">
        <f t="shared" ca="1" si="17"/>
        <v>0.19258451295055953</v>
      </c>
      <c r="T56" s="153">
        <f t="shared" ca="1" si="17"/>
        <v>0</v>
      </c>
      <c r="U56" s="153">
        <f t="shared" ca="1" si="17"/>
        <v>0</v>
      </c>
      <c r="V56" s="153">
        <f t="shared" ca="1" si="17"/>
        <v>0</v>
      </c>
      <c r="W56" s="153">
        <f t="shared" ca="1" si="17"/>
        <v>0</v>
      </c>
      <c r="X56" s="153">
        <f t="shared" ca="1" si="17"/>
        <v>0</v>
      </c>
      <c r="Y56" s="153">
        <f t="shared" ca="1" si="17"/>
        <v>0</v>
      </c>
      <c r="Z56" s="153">
        <f t="shared" ca="1" si="17"/>
        <v>0</v>
      </c>
      <c r="AA56" s="153">
        <f t="shared" ca="1" si="17"/>
        <v>0</v>
      </c>
      <c r="AB56" s="153">
        <f t="shared" ca="1" si="17"/>
        <v>0</v>
      </c>
      <c r="AC56" s="153">
        <f t="shared" ca="1" si="17"/>
        <v>0</v>
      </c>
      <c r="AD56" s="153">
        <f t="shared" ca="1" si="17"/>
        <v>0</v>
      </c>
      <c r="AE56" s="153">
        <f t="shared" ca="1" si="17"/>
        <v>0</v>
      </c>
      <c r="AF56" s="153">
        <f t="shared" ca="1" si="17"/>
        <v>0</v>
      </c>
      <c r="AG56" s="154">
        <f t="shared" ca="1" si="17"/>
        <v>0</v>
      </c>
    </row>
    <row r="57" spans="1:33" ht="15.6" x14ac:dyDescent="0.3">
      <c r="A57" s="135" t="s">
        <v>224</v>
      </c>
      <c r="B57" s="169">
        <f ca="1">B54</f>
        <v>2016</v>
      </c>
      <c r="C57" s="148"/>
      <c r="D57" s="174">
        <f>AVERAGE($D54:$AG54)</f>
        <v>8.6486486486486488E-3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50"/>
    </row>
    <row r="58" spans="1:33" ht="15.6" x14ac:dyDescent="0.3">
      <c r="A58" s="140" t="s">
        <v>224</v>
      </c>
      <c r="B58" s="173">
        <f>B55</f>
        <v>2016</v>
      </c>
      <c r="C58" s="175"/>
      <c r="D58" s="175">
        <f ca="1">AVERAGE($D55:$AG55)</f>
        <v>8.6486486486486488E-3</v>
      </c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2"/>
    </row>
    <row r="59" spans="1:33" ht="15.6" x14ac:dyDescent="0.3">
      <c r="A59" s="140" t="s">
        <v>224</v>
      </c>
      <c r="B59" s="145" t="s">
        <v>125</v>
      </c>
      <c r="C59" s="153"/>
      <c r="D59" s="176">
        <f ca="1">AVERAGE($D56:$AG56)</f>
        <v>1.1688253051548025E-2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4"/>
    </row>
    <row r="60" spans="1:33" ht="15.6" x14ac:dyDescent="0.3">
      <c r="A60" s="187" t="s">
        <v>225</v>
      </c>
      <c r="B60" s="188">
        <f>B52</f>
        <v>2016</v>
      </c>
      <c r="C60" s="189">
        <f ca="1">($C$20+NPV($C$3,$D53:$AG53))/1000000</f>
        <v>0.25632721483381499</v>
      </c>
      <c r="D60" s="183"/>
      <c r="E60" s="184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6"/>
    </row>
    <row r="62" spans="1:33" x14ac:dyDescent="0.3">
      <c r="D62" s="97">
        <v>2017</v>
      </c>
      <c r="E62" s="97">
        <v>2018</v>
      </c>
      <c r="F62" s="97">
        <v>2019</v>
      </c>
      <c r="G62" s="97">
        <v>2020</v>
      </c>
      <c r="H62" s="97">
        <v>2021</v>
      </c>
      <c r="I62" s="97">
        <v>2022</v>
      </c>
      <c r="J62" s="97">
        <v>2023</v>
      </c>
      <c r="K62" s="97">
        <v>2024</v>
      </c>
      <c r="L62" s="97">
        <v>2025</v>
      </c>
      <c r="M62" s="97">
        <v>2026</v>
      </c>
      <c r="N62" s="97">
        <v>2027</v>
      </c>
      <c r="O62" s="97">
        <v>2028</v>
      </c>
      <c r="P62" s="97">
        <v>2029</v>
      </c>
      <c r="Q62" s="97">
        <v>2030</v>
      </c>
      <c r="R62" s="97">
        <v>2031</v>
      </c>
      <c r="S62" s="97">
        <v>2032</v>
      </c>
      <c r="T62" s="97">
        <v>2033</v>
      </c>
      <c r="U62" s="97">
        <v>2034</v>
      </c>
      <c r="V62" s="97">
        <v>2035</v>
      </c>
      <c r="W62" s="97">
        <v>2036</v>
      </c>
      <c r="X62" s="97">
        <v>2037</v>
      </c>
      <c r="Y62" s="97">
        <v>2038</v>
      </c>
      <c r="Z62" s="97">
        <v>2039</v>
      </c>
      <c r="AA62" s="97">
        <v>2040</v>
      </c>
      <c r="AB62" s="97">
        <v>2041</v>
      </c>
      <c r="AC62" s="97">
        <v>2042</v>
      </c>
      <c r="AD62" s="97">
        <v>2043</v>
      </c>
      <c r="AE62" s="97">
        <v>2044</v>
      </c>
      <c r="AF62" s="97">
        <v>2045</v>
      </c>
      <c r="AG62" s="97">
        <v>2046</v>
      </c>
    </row>
    <row r="63" spans="1:33" x14ac:dyDescent="0.3">
      <c r="D63" s="108">
        <f ca="1">C53+D42+D53</f>
        <v>526304.97913187416</v>
      </c>
      <c r="E63" s="108">
        <f t="shared" ref="E63:AG63" ca="1" si="18">E42+E53</f>
        <v>331698.01845392102</v>
      </c>
      <c r="F63" s="108">
        <f t="shared" ca="1" si="18"/>
        <v>339990.46891526901</v>
      </c>
      <c r="G63" s="108">
        <f t="shared" ca="1" si="18"/>
        <v>348490.23063815071</v>
      </c>
      <c r="H63" s="108">
        <f t="shared" ca="1" si="18"/>
        <v>357202.48640410445</v>
      </c>
      <c r="I63" s="108">
        <f t="shared" ca="1" si="18"/>
        <v>448613.59480128222</v>
      </c>
      <c r="J63" s="108">
        <f t="shared" ca="1" si="18"/>
        <v>469517.94783246884</v>
      </c>
      <c r="K63" s="108">
        <f t="shared" ca="1" si="18"/>
        <v>495995.92962579685</v>
      </c>
      <c r="L63" s="108">
        <f t="shared" ca="1" si="18"/>
        <v>492528.46141057502</v>
      </c>
      <c r="M63" s="108">
        <f t="shared" ca="1" si="18"/>
        <v>495910.38846767333</v>
      </c>
      <c r="N63" s="108">
        <f t="shared" ca="1" si="18"/>
        <v>497794.10326787416</v>
      </c>
      <c r="O63" s="108">
        <f t="shared" ca="1" si="18"/>
        <v>501845.66684647585</v>
      </c>
      <c r="P63" s="108">
        <f t="shared" ca="1" si="18"/>
        <v>510551.61971874454</v>
      </c>
      <c r="Q63" s="108">
        <f t="shared" ca="1" si="18"/>
        <v>524381.63695944939</v>
      </c>
      <c r="R63" s="108">
        <f t="shared" ca="1" si="18"/>
        <v>541997.5404041775</v>
      </c>
      <c r="S63" s="108">
        <f t="shared" ca="1" si="18"/>
        <v>575458.37552099663</v>
      </c>
      <c r="T63" s="108">
        <f t="shared" ca="1" si="18"/>
        <v>579997.84293671127</v>
      </c>
      <c r="U63" s="108">
        <f t="shared" ca="1" si="18"/>
        <v>605149.87468834745</v>
      </c>
      <c r="V63" s="108">
        <f t="shared" ca="1" si="18"/>
        <v>612392.01002510171</v>
      </c>
      <c r="W63" s="108">
        <f t="shared" ca="1" si="18"/>
        <v>626137.4851946152</v>
      </c>
      <c r="X63" s="108">
        <f t="shared" ca="1" si="18"/>
        <v>639233.73992152361</v>
      </c>
      <c r="Y63" s="108">
        <f t="shared" ca="1" si="18"/>
        <v>652605.8486659209</v>
      </c>
      <c r="Z63" s="108">
        <f t="shared" ca="1" si="18"/>
        <v>666995.606221786</v>
      </c>
      <c r="AA63" s="108">
        <f t="shared" ca="1" si="18"/>
        <v>682791.55906695127</v>
      </c>
      <c r="AB63" s="108">
        <f t="shared" ca="1" si="18"/>
        <v>699982.72683701036</v>
      </c>
      <c r="AC63" s="108">
        <f t="shared" ca="1" si="18"/>
        <v>718230.65564428584</v>
      </c>
      <c r="AD63" s="108">
        <f t="shared" ca="1" si="18"/>
        <v>707839.21508932568</v>
      </c>
      <c r="AE63" s="108">
        <f t="shared" ca="1" si="18"/>
        <v>694982.03869007668</v>
      </c>
      <c r="AF63" s="108">
        <f t="shared" ca="1" si="18"/>
        <v>662057.53197179979</v>
      </c>
      <c r="AG63" s="108">
        <f t="shared" ca="1" si="18"/>
        <v>614522.62665609864</v>
      </c>
    </row>
    <row r="64" spans="1:33" x14ac:dyDescent="0.3">
      <c r="B64" s="190" t="s">
        <v>226</v>
      </c>
      <c r="C64" s="58" t="s">
        <v>227</v>
      </c>
      <c r="D64" s="191">
        <f ca="1">D63/10^6</f>
        <v>0.52630497913187413</v>
      </c>
      <c r="E64" s="191">
        <f t="shared" ref="E64:AG64" ca="1" si="19">E63/10^6</f>
        <v>0.331698018453921</v>
      </c>
      <c r="F64" s="191">
        <f t="shared" ca="1" si="19"/>
        <v>0.33999046891526902</v>
      </c>
      <c r="G64" s="191">
        <f t="shared" ca="1" si="19"/>
        <v>0.34849023063815071</v>
      </c>
      <c r="H64" s="191">
        <f t="shared" ca="1" si="19"/>
        <v>0.35720248640410446</v>
      </c>
      <c r="I64" s="191">
        <f t="shared" ca="1" si="19"/>
        <v>0.44861359480128221</v>
      </c>
      <c r="J64" s="191">
        <f t="shared" ca="1" si="19"/>
        <v>0.46951794783246886</v>
      </c>
      <c r="K64" s="191">
        <f t="shared" ca="1" si="19"/>
        <v>0.49599592962579686</v>
      </c>
      <c r="L64" s="191">
        <f t="shared" ca="1" si="19"/>
        <v>0.49252846141057505</v>
      </c>
      <c r="M64" s="191">
        <f t="shared" ca="1" si="19"/>
        <v>0.49591038846767332</v>
      </c>
      <c r="N64" s="191">
        <f t="shared" ca="1" si="19"/>
        <v>0.49779410326787416</v>
      </c>
      <c r="O64" s="191">
        <f t="shared" ca="1" si="19"/>
        <v>0.5018456668464758</v>
      </c>
      <c r="P64" s="191">
        <f t="shared" ca="1" si="19"/>
        <v>0.51055161971874452</v>
      </c>
      <c r="Q64" s="191">
        <f t="shared" ca="1" si="19"/>
        <v>0.52438163695944939</v>
      </c>
      <c r="R64" s="191">
        <f t="shared" ca="1" si="19"/>
        <v>0.54199754040417747</v>
      </c>
      <c r="S64" s="191">
        <f t="shared" ca="1" si="19"/>
        <v>0.57545837552099666</v>
      </c>
      <c r="T64" s="191">
        <f t="shared" ca="1" si="19"/>
        <v>0.57999784293671131</v>
      </c>
      <c r="U64" s="191">
        <f t="shared" ca="1" si="19"/>
        <v>0.60514987468834747</v>
      </c>
      <c r="V64" s="191">
        <f t="shared" ca="1" si="19"/>
        <v>0.61239201002510169</v>
      </c>
      <c r="W64" s="191">
        <f t="shared" ca="1" si="19"/>
        <v>0.62613748519461521</v>
      </c>
      <c r="X64" s="191">
        <f t="shared" ca="1" si="19"/>
        <v>0.63923373992152366</v>
      </c>
      <c r="Y64" s="191">
        <f t="shared" ca="1" si="19"/>
        <v>0.65260584866592086</v>
      </c>
      <c r="Z64" s="191">
        <f t="shared" ca="1" si="19"/>
        <v>0.666995606221786</v>
      </c>
      <c r="AA64" s="191">
        <f t="shared" ca="1" si="19"/>
        <v>0.68279155906695133</v>
      </c>
      <c r="AB64" s="191">
        <f t="shared" ca="1" si="19"/>
        <v>0.69998272683701035</v>
      </c>
      <c r="AC64" s="191">
        <f t="shared" ca="1" si="19"/>
        <v>0.71823065564428579</v>
      </c>
      <c r="AD64" s="191">
        <f t="shared" ca="1" si="19"/>
        <v>0.70783921508932568</v>
      </c>
      <c r="AE64" s="191">
        <f t="shared" ca="1" si="19"/>
        <v>0.69498203869007669</v>
      </c>
      <c r="AF64" s="191">
        <f t="shared" ca="1" si="19"/>
        <v>0.66205753197179984</v>
      </c>
      <c r="AG64" s="191">
        <f t="shared" ca="1" si="19"/>
        <v>0.61452262665609869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workbookViewId="0">
      <selection activeCell="E1" sqref="E1"/>
    </sheetView>
  </sheetViews>
  <sheetFormatPr defaultRowHeight="14.4" x14ac:dyDescent="0.3"/>
  <cols>
    <col min="1" max="1" width="18.6640625" bestFit="1" customWidth="1"/>
    <col min="5" max="5" width="16" customWidth="1"/>
    <col min="257" max="257" width="18.6640625" bestFit="1" customWidth="1"/>
    <col min="513" max="513" width="18.6640625" bestFit="1" customWidth="1"/>
    <col min="769" max="769" width="18.6640625" bestFit="1" customWidth="1"/>
    <col min="1025" max="1025" width="18.6640625" bestFit="1" customWidth="1"/>
    <col min="1281" max="1281" width="18.6640625" bestFit="1" customWidth="1"/>
    <col min="1537" max="1537" width="18.6640625" bestFit="1" customWidth="1"/>
    <col min="1793" max="1793" width="18.6640625" bestFit="1" customWidth="1"/>
    <col min="2049" max="2049" width="18.6640625" bestFit="1" customWidth="1"/>
    <col min="2305" max="2305" width="18.6640625" bestFit="1" customWidth="1"/>
    <col min="2561" max="2561" width="18.6640625" bestFit="1" customWidth="1"/>
    <col min="2817" max="2817" width="18.6640625" bestFit="1" customWidth="1"/>
    <col min="3073" max="3073" width="18.6640625" bestFit="1" customWidth="1"/>
    <col min="3329" max="3329" width="18.6640625" bestFit="1" customWidth="1"/>
    <col min="3585" max="3585" width="18.6640625" bestFit="1" customWidth="1"/>
    <col min="3841" max="3841" width="18.6640625" bestFit="1" customWidth="1"/>
    <col min="4097" max="4097" width="18.6640625" bestFit="1" customWidth="1"/>
    <col min="4353" max="4353" width="18.6640625" bestFit="1" customWidth="1"/>
    <col min="4609" max="4609" width="18.6640625" bestFit="1" customWidth="1"/>
    <col min="4865" max="4865" width="18.6640625" bestFit="1" customWidth="1"/>
    <col min="5121" max="5121" width="18.6640625" bestFit="1" customWidth="1"/>
    <col min="5377" max="5377" width="18.6640625" bestFit="1" customWidth="1"/>
    <col min="5633" max="5633" width="18.6640625" bestFit="1" customWidth="1"/>
    <col min="5889" max="5889" width="18.6640625" bestFit="1" customWidth="1"/>
    <col min="6145" max="6145" width="18.6640625" bestFit="1" customWidth="1"/>
    <col min="6401" max="6401" width="18.6640625" bestFit="1" customWidth="1"/>
    <col min="6657" max="6657" width="18.6640625" bestFit="1" customWidth="1"/>
    <col min="6913" max="6913" width="18.6640625" bestFit="1" customWidth="1"/>
    <col min="7169" max="7169" width="18.6640625" bestFit="1" customWidth="1"/>
    <col min="7425" max="7425" width="18.6640625" bestFit="1" customWidth="1"/>
    <col min="7681" max="7681" width="18.6640625" bestFit="1" customWidth="1"/>
    <col min="7937" max="7937" width="18.6640625" bestFit="1" customWidth="1"/>
    <col min="8193" max="8193" width="18.6640625" bestFit="1" customWidth="1"/>
    <col min="8449" max="8449" width="18.6640625" bestFit="1" customWidth="1"/>
    <col min="8705" max="8705" width="18.6640625" bestFit="1" customWidth="1"/>
    <col min="8961" max="8961" width="18.6640625" bestFit="1" customWidth="1"/>
    <col min="9217" max="9217" width="18.6640625" bestFit="1" customWidth="1"/>
    <col min="9473" max="9473" width="18.6640625" bestFit="1" customWidth="1"/>
    <col min="9729" max="9729" width="18.6640625" bestFit="1" customWidth="1"/>
    <col min="9985" max="9985" width="18.6640625" bestFit="1" customWidth="1"/>
    <col min="10241" max="10241" width="18.6640625" bestFit="1" customWidth="1"/>
    <col min="10497" max="10497" width="18.6640625" bestFit="1" customWidth="1"/>
    <col min="10753" max="10753" width="18.6640625" bestFit="1" customWidth="1"/>
    <col min="11009" max="11009" width="18.6640625" bestFit="1" customWidth="1"/>
    <col min="11265" max="11265" width="18.6640625" bestFit="1" customWidth="1"/>
    <col min="11521" max="11521" width="18.6640625" bestFit="1" customWidth="1"/>
    <col min="11777" max="11777" width="18.6640625" bestFit="1" customWidth="1"/>
    <col min="12033" max="12033" width="18.6640625" bestFit="1" customWidth="1"/>
    <col min="12289" max="12289" width="18.6640625" bestFit="1" customWidth="1"/>
    <col min="12545" max="12545" width="18.6640625" bestFit="1" customWidth="1"/>
    <col min="12801" max="12801" width="18.6640625" bestFit="1" customWidth="1"/>
    <col min="13057" max="13057" width="18.6640625" bestFit="1" customWidth="1"/>
    <col min="13313" max="13313" width="18.6640625" bestFit="1" customWidth="1"/>
    <col min="13569" max="13569" width="18.6640625" bestFit="1" customWidth="1"/>
    <col min="13825" max="13825" width="18.6640625" bestFit="1" customWidth="1"/>
    <col min="14081" max="14081" width="18.6640625" bestFit="1" customWidth="1"/>
    <col min="14337" max="14337" width="18.6640625" bestFit="1" customWidth="1"/>
    <col min="14593" max="14593" width="18.6640625" bestFit="1" customWidth="1"/>
    <col min="14849" max="14849" width="18.6640625" bestFit="1" customWidth="1"/>
    <col min="15105" max="15105" width="18.6640625" bestFit="1" customWidth="1"/>
    <col min="15361" max="15361" width="18.6640625" bestFit="1" customWidth="1"/>
    <col min="15617" max="15617" width="18.6640625" bestFit="1" customWidth="1"/>
    <col min="15873" max="15873" width="18.6640625" bestFit="1" customWidth="1"/>
    <col min="16129" max="16129" width="18.6640625" bestFit="1" customWidth="1"/>
  </cols>
  <sheetData>
    <row r="1" spans="1:16" ht="28.8" x14ac:dyDescent="0.35">
      <c r="A1" s="94" t="s">
        <v>195</v>
      </c>
      <c r="E1" s="233" t="s">
        <v>258</v>
      </c>
    </row>
    <row r="2" spans="1:16" x14ac:dyDescent="0.3">
      <c r="A2" t="s">
        <v>165</v>
      </c>
    </row>
    <row r="3" spans="1:16" x14ac:dyDescent="0.3">
      <c r="A3" t="s">
        <v>166</v>
      </c>
    </row>
    <row r="4" spans="1:16" x14ac:dyDescent="0.3">
      <c r="A4" t="s">
        <v>167</v>
      </c>
      <c r="B4" t="s">
        <v>168</v>
      </c>
      <c r="C4" t="s">
        <v>169</v>
      </c>
    </row>
    <row r="5" spans="1:16" x14ac:dyDescent="0.3">
      <c r="A5" t="s">
        <v>170</v>
      </c>
      <c r="B5">
        <v>195</v>
      </c>
      <c r="C5" t="s">
        <v>169</v>
      </c>
    </row>
    <row r="6" spans="1:16" x14ac:dyDescent="0.3">
      <c r="A6" t="s">
        <v>171</v>
      </c>
      <c r="B6">
        <v>75</v>
      </c>
      <c r="C6" t="s">
        <v>172</v>
      </c>
    </row>
    <row r="7" spans="1:16" x14ac:dyDescent="0.3">
      <c r="A7" t="s">
        <v>173</v>
      </c>
      <c r="B7">
        <v>1.5</v>
      </c>
    </row>
    <row r="8" spans="1:16" x14ac:dyDescent="0.3">
      <c r="P8" s="58" t="s">
        <v>199</v>
      </c>
    </row>
    <row r="9" spans="1:16" x14ac:dyDescent="0.3">
      <c r="A9" t="s">
        <v>174</v>
      </c>
      <c r="B9" t="s">
        <v>175</v>
      </c>
      <c r="P9" s="58" t="s">
        <v>201</v>
      </c>
    </row>
    <row r="10" spans="1:16" x14ac:dyDescent="0.3">
      <c r="A10" t="s">
        <v>176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 t="s">
        <v>177</v>
      </c>
      <c r="P10" s="58" t="s">
        <v>202</v>
      </c>
    </row>
    <row r="11" spans="1:16" x14ac:dyDescent="0.3">
      <c r="A11">
        <v>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6" x14ac:dyDescent="0.3">
      <c r="A12">
        <v>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16" x14ac:dyDescent="0.3">
      <c r="A13">
        <v>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6" x14ac:dyDescent="0.3">
      <c r="A14">
        <v>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6" x14ac:dyDescent="0.3">
      <c r="A15">
        <v>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6" x14ac:dyDescent="0.3">
      <c r="A16">
        <v>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6" x14ac:dyDescent="0.3">
      <c r="A17">
        <v>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6" x14ac:dyDescent="0.3">
      <c r="A18">
        <v>8</v>
      </c>
      <c r="B18" s="127">
        <v>1.50031E-5</v>
      </c>
      <c r="C18">
        <v>1.922689E-2</v>
      </c>
      <c r="D18">
        <v>0</v>
      </c>
      <c r="E18">
        <v>1.9504750000000001E-2</v>
      </c>
      <c r="F18">
        <v>6.2725321000000001E-2</v>
      </c>
      <c r="G18">
        <v>6.6083498000000004E-2</v>
      </c>
      <c r="H18">
        <v>5.3355248000000001E-2</v>
      </c>
      <c r="I18">
        <v>2.0620402999999999E-2</v>
      </c>
      <c r="J18">
        <v>3.76614E-4</v>
      </c>
      <c r="K18">
        <v>0</v>
      </c>
      <c r="L18">
        <v>8.3497827999999996E-2</v>
      </c>
      <c r="M18">
        <v>4.3173630000000003E-3</v>
      </c>
      <c r="N18">
        <v>2.7381553999999999E-2</v>
      </c>
    </row>
    <row r="19" spans="1:16" x14ac:dyDescent="0.3">
      <c r="A19">
        <v>9</v>
      </c>
      <c r="B19">
        <v>0.23850469899999999</v>
      </c>
      <c r="C19">
        <v>0.261802172</v>
      </c>
      <c r="D19">
        <v>0.10293983299999999</v>
      </c>
      <c r="E19">
        <v>0.18687510700000001</v>
      </c>
      <c r="F19">
        <v>0.22784726</v>
      </c>
      <c r="G19">
        <v>0.20885986100000001</v>
      </c>
      <c r="H19">
        <v>0.18996143900000001</v>
      </c>
      <c r="I19">
        <v>0.169670654</v>
      </c>
      <c r="J19">
        <v>0.15174102</v>
      </c>
      <c r="K19">
        <v>0.140282194</v>
      </c>
      <c r="L19">
        <v>0.36965584099999999</v>
      </c>
      <c r="M19">
        <v>0.26842474599999999</v>
      </c>
      <c r="N19">
        <v>0.20907115400000001</v>
      </c>
    </row>
    <row r="20" spans="1:16" x14ac:dyDescent="0.3">
      <c r="A20">
        <v>10</v>
      </c>
      <c r="B20">
        <v>0.51107785500000003</v>
      </c>
      <c r="C20">
        <v>0.52168687400000002</v>
      </c>
      <c r="D20">
        <v>0.37743000900000001</v>
      </c>
      <c r="E20">
        <v>0.47895492200000001</v>
      </c>
      <c r="F20">
        <v>0.48923087100000001</v>
      </c>
      <c r="G20">
        <v>0.43507778000000003</v>
      </c>
      <c r="H20">
        <v>0.43094508500000001</v>
      </c>
      <c r="I20">
        <v>0.41869284200000001</v>
      </c>
      <c r="J20">
        <v>0.40549602299999998</v>
      </c>
      <c r="K20">
        <v>0.41614301199999998</v>
      </c>
      <c r="L20">
        <v>0.60284985300000005</v>
      </c>
      <c r="M20">
        <v>0.50426070700000003</v>
      </c>
      <c r="N20">
        <v>0.46536926499999998</v>
      </c>
    </row>
    <row r="21" spans="1:16" x14ac:dyDescent="0.3">
      <c r="A21">
        <v>11</v>
      </c>
      <c r="B21">
        <v>0.71350332999999999</v>
      </c>
      <c r="C21">
        <v>0.72593474199999997</v>
      </c>
      <c r="D21">
        <v>0.63661037300000001</v>
      </c>
      <c r="E21">
        <v>0.71897518000000005</v>
      </c>
      <c r="F21">
        <v>0.70391707000000003</v>
      </c>
      <c r="G21">
        <v>0.63468270400000004</v>
      </c>
      <c r="H21">
        <v>0.64097796900000004</v>
      </c>
      <c r="I21">
        <v>0.63608042300000001</v>
      </c>
      <c r="J21">
        <v>0.62194105200000005</v>
      </c>
      <c r="K21">
        <v>0.650542548</v>
      </c>
      <c r="L21">
        <v>0.76916306599999995</v>
      </c>
      <c r="M21">
        <v>0.68449923700000004</v>
      </c>
      <c r="N21">
        <v>0.67758655400000001</v>
      </c>
    </row>
    <row r="22" spans="1:16" x14ac:dyDescent="0.3">
      <c r="A22">
        <v>12</v>
      </c>
      <c r="B22">
        <v>0.80438783400000002</v>
      </c>
      <c r="C22">
        <v>0.79576771499999999</v>
      </c>
      <c r="D22">
        <v>0.808259002</v>
      </c>
      <c r="E22">
        <v>0.87154412299999995</v>
      </c>
      <c r="F22">
        <v>0.85335567099999998</v>
      </c>
      <c r="G22">
        <v>0.765053341</v>
      </c>
      <c r="H22">
        <v>0.76273378999999997</v>
      </c>
      <c r="I22">
        <v>0.77549137000000001</v>
      </c>
      <c r="J22">
        <v>0.76406533799999998</v>
      </c>
      <c r="K22">
        <v>0.801712074</v>
      </c>
      <c r="L22">
        <v>0.82074459700000002</v>
      </c>
      <c r="M22">
        <v>0.76123702599999998</v>
      </c>
      <c r="N22">
        <v>0.79864711700000002</v>
      </c>
    </row>
    <row r="23" spans="1:16" x14ac:dyDescent="0.3">
      <c r="A23">
        <v>13</v>
      </c>
      <c r="B23">
        <v>0.796152745</v>
      </c>
      <c r="C23">
        <v>0.79247726900000004</v>
      </c>
      <c r="D23">
        <v>0.83315407399999997</v>
      </c>
      <c r="E23">
        <v>0.89629336800000003</v>
      </c>
      <c r="F23">
        <v>0.88395547399999996</v>
      </c>
      <c r="G23">
        <v>0.80847670599999999</v>
      </c>
      <c r="H23">
        <v>0.82309779500000002</v>
      </c>
      <c r="I23">
        <v>0.84100160899999998</v>
      </c>
      <c r="J23">
        <v>0.797925844</v>
      </c>
      <c r="K23">
        <v>0.82788297099999997</v>
      </c>
      <c r="L23">
        <v>0.82161397199999997</v>
      </c>
      <c r="M23">
        <v>0.76531223999999998</v>
      </c>
      <c r="N23">
        <v>0.82412582000000001</v>
      </c>
    </row>
    <row r="24" spans="1:16" x14ac:dyDescent="0.3">
      <c r="A24">
        <v>14</v>
      </c>
      <c r="B24">
        <v>0.79539322800000001</v>
      </c>
      <c r="C24">
        <v>0.76575536799999999</v>
      </c>
      <c r="D24">
        <v>0.84068454299999995</v>
      </c>
      <c r="E24">
        <v>0.88553817499999998</v>
      </c>
      <c r="F24">
        <v>0.88501698399999995</v>
      </c>
      <c r="G24">
        <v>0.79597804299999997</v>
      </c>
      <c r="H24">
        <v>0.82067739500000003</v>
      </c>
      <c r="I24">
        <v>0.80004809499999996</v>
      </c>
      <c r="J24">
        <v>0.78910365400000004</v>
      </c>
      <c r="K24">
        <v>0.81188932199999997</v>
      </c>
      <c r="L24">
        <v>0.79096056999999997</v>
      </c>
      <c r="M24">
        <v>0.74876446100000005</v>
      </c>
      <c r="N24">
        <v>0.81113769400000002</v>
      </c>
    </row>
    <row r="25" spans="1:16" x14ac:dyDescent="0.3">
      <c r="A25">
        <v>15</v>
      </c>
      <c r="B25">
        <v>0.74492919400000002</v>
      </c>
      <c r="C25">
        <v>0.73424641800000001</v>
      </c>
      <c r="D25">
        <v>0.83406665400000002</v>
      </c>
      <c r="E25">
        <v>0.87723819800000002</v>
      </c>
      <c r="F25">
        <v>0.85073592499999995</v>
      </c>
      <c r="G25">
        <v>0.75007718700000003</v>
      </c>
      <c r="H25">
        <v>0.79788189200000004</v>
      </c>
      <c r="I25">
        <v>0.77460446299999997</v>
      </c>
      <c r="J25">
        <v>0.76684596999999999</v>
      </c>
      <c r="K25">
        <v>0.79761779499999996</v>
      </c>
      <c r="L25">
        <v>0.68915450199999995</v>
      </c>
      <c r="M25">
        <v>0.66172172100000004</v>
      </c>
      <c r="N25">
        <v>0.77360729399999995</v>
      </c>
    </row>
    <row r="26" spans="1:16" x14ac:dyDescent="0.3">
      <c r="A26">
        <v>16</v>
      </c>
      <c r="B26">
        <v>0.62246939099999998</v>
      </c>
      <c r="C26">
        <v>0.65982763499999997</v>
      </c>
      <c r="D26">
        <v>0.79999019000000005</v>
      </c>
      <c r="E26">
        <v>0.848933143</v>
      </c>
      <c r="F26">
        <v>0.80253603799999995</v>
      </c>
      <c r="G26">
        <v>0.68781625899999999</v>
      </c>
      <c r="H26">
        <v>0.69430830700000001</v>
      </c>
      <c r="I26">
        <v>0.68962271200000003</v>
      </c>
      <c r="J26">
        <v>0.67630714800000002</v>
      </c>
      <c r="K26">
        <v>0.72237273499999999</v>
      </c>
      <c r="L26">
        <v>0.54711089999999996</v>
      </c>
      <c r="M26">
        <v>0.54000193900000004</v>
      </c>
      <c r="N26">
        <v>0.69120695300000001</v>
      </c>
    </row>
    <row r="27" spans="1:16" x14ac:dyDescent="0.3">
      <c r="A27">
        <v>17</v>
      </c>
      <c r="B27">
        <v>0.41064488700000001</v>
      </c>
      <c r="C27">
        <v>0.46954951</v>
      </c>
      <c r="D27">
        <v>0.72039710499999998</v>
      </c>
      <c r="E27">
        <v>0.75422310100000001</v>
      </c>
      <c r="F27">
        <v>0.67695571499999996</v>
      </c>
      <c r="G27">
        <v>0.54036722999999998</v>
      </c>
      <c r="H27">
        <v>0.54332578300000001</v>
      </c>
      <c r="I27" s="168">
        <v>0.54484089800000002</v>
      </c>
      <c r="J27">
        <v>0.52207785900000003</v>
      </c>
      <c r="K27">
        <v>0.56630280600000005</v>
      </c>
      <c r="L27">
        <v>0.293561821</v>
      </c>
      <c r="M27">
        <v>0.28337399299999999</v>
      </c>
      <c r="N27">
        <v>0.52760373500000002</v>
      </c>
      <c r="O27" s="83" t="s">
        <v>196</v>
      </c>
      <c r="P27">
        <f t="shared" ref="P27" si="0">I27/(1.003^(2030-2017))</f>
        <v>0.52403171381152136</v>
      </c>
    </row>
    <row r="28" spans="1:16" x14ac:dyDescent="0.3">
      <c r="A28">
        <v>18</v>
      </c>
      <c r="B28">
        <v>7.9369596000000001E-2</v>
      </c>
      <c r="C28">
        <v>0.190552954</v>
      </c>
      <c r="D28">
        <v>0.52906553199999995</v>
      </c>
      <c r="E28">
        <v>0.53570889700000002</v>
      </c>
      <c r="F28">
        <v>0.48216660099999997</v>
      </c>
      <c r="G28">
        <v>0.38330325799999998</v>
      </c>
      <c r="H28">
        <v>0.37567410400000001</v>
      </c>
      <c r="I28">
        <v>0.34864771</v>
      </c>
      <c r="J28">
        <v>0.34468828899999998</v>
      </c>
      <c r="K28">
        <v>0.32939219600000003</v>
      </c>
      <c r="L28">
        <v>2.2706620000000001E-3</v>
      </c>
      <c r="M28">
        <v>3.3917299999999999E-3</v>
      </c>
      <c r="N28">
        <v>0.30107821200000001</v>
      </c>
    </row>
    <row r="29" spans="1:16" x14ac:dyDescent="0.3">
      <c r="A29">
        <v>19</v>
      </c>
      <c r="B29">
        <v>0</v>
      </c>
      <c r="C29">
        <v>0</v>
      </c>
      <c r="D29">
        <v>0.26108161499999999</v>
      </c>
      <c r="E29">
        <v>0.26746550200000002</v>
      </c>
      <c r="F29">
        <v>0.25716545200000002</v>
      </c>
      <c r="G29">
        <v>0.19864464900000001</v>
      </c>
      <c r="H29">
        <v>0.19581842499999999</v>
      </c>
      <c r="I29">
        <v>0.177879496</v>
      </c>
      <c r="J29">
        <v>0.133078267</v>
      </c>
      <c r="K29">
        <v>5.9394034999999998E-2</v>
      </c>
      <c r="L29">
        <v>0</v>
      </c>
      <c r="M29">
        <v>0</v>
      </c>
      <c r="N29">
        <v>0.13004702000000001</v>
      </c>
    </row>
    <row r="30" spans="1:16" x14ac:dyDescent="0.3">
      <c r="A30">
        <v>20</v>
      </c>
      <c r="B30">
        <v>0</v>
      </c>
      <c r="C30">
        <v>0</v>
      </c>
      <c r="D30">
        <v>2.1162910000000002E-3</v>
      </c>
      <c r="E30">
        <v>2.6229714000000001E-2</v>
      </c>
      <c r="F30">
        <v>4.9435677999999997E-2</v>
      </c>
      <c r="G30">
        <v>5.5428574000000001E-2</v>
      </c>
      <c r="H30">
        <v>5.8641943000000002E-2</v>
      </c>
      <c r="I30">
        <v>3.0076813000000001E-2</v>
      </c>
      <c r="J30">
        <v>6.3536799999999998E-4</v>
      </c>
      <c r="K30">
        <v>0</v>
      </c>
      <c r="L30">
        <v>0</v>
      </c>
      <c r="M30">
        <v>0</v>
      </c>
      <c r="N30">
        <v>1.8677266000000001E-2</v>
      </c>
    </row>
    <row r="31" spans="1:16" x14ac:dyDescent="0.3">
      <c r="A31">
        <v>21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6" x14ac:dyDescent="0.3">
      <c r="A32">
        <v>22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4" x14ac:dyDescent="0.3">
      <c r="A33">
        <v>23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</row>
    <row r="34" spans="1:14" x14ac:dyDescent="0.3">
      <c r="A34">
        <v>24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 x14ac:dyDescent="0.3">
      <c r="A35" t="s">
        <v>177</v>
      </c>
      <c r="B35">
        <v>0.238185323</v>
      </c>
      <c r="C35">
        <v>0.24736781399999999</v>
      </c>
      <c r="D35">
        <v>0.28107480099999999</v>
      </c>
      <c r="E35">
        <v>0.30697850700000001</v>
      </c>
      <c r="F35">
        <v>0.30104350299999999</v>
      </c>
      <c r="G35">
        <v>0.26374371200000002</v>
      </c>
      <c r="H35">
        <v>0.26614163200000002</v>
      </c>
      <c r="I35">
        <v>0.25946989500000001</v>
      </c>
      <c r="J35">
        <v>0.248928435</v>
      </c>
      <c r="K35">
        <v>0.25514715399999999</v>
      </c>
      <c r="L35">
        <v>0.24127431699999999</v>
      </c>
      <c r="M35">
        <v>0.217721048</v>
      </c>
      <c r="N35">
        <v>0.26064748500000001</v>
      </c>
    </row>
    <row r="37" spans="1:14" x14ac:dyDescent="0.3">
      <c r="A37" t="s">
        <v>178</v>
      </c>
      <c r="B37" t="s">
        <v>179</v>
      </c>
    </row>
    <row r="38" spans="1:14" x14ac:dyDescent="0.3">
      <c r="A38" t="s">
        <v>180</v>
      </c>
      <c r="B38">
        <v>8.27</v>
      </c>
    </row>
    <row r="39" spans="1:14" x14ac:dyDescent="0.3">
      <c r="A39" t="s">
        <v>181</v>
      </c>
      <c r="B39">
        <v>-1.77</v>
      </c>
    </row>
    <row r="40" spans="1:14" x14ac:dyDescent="0.3">
      <c r="A40" t="s">
        <v>182</v>
      </c>
      <c r="B40">
        <v>-2.38</v>
      </c>
    </row>
    <row r="41" spans="1:14" x14ac:dyDescent="0.3">
      <c r="A41" t="s">
        <v>183</v>
      </c>
      <c r="B41">
        <v>-8.84</v>
      </c>
    </row>
    <row r="42" spans="1:14" x14ac:dyDescent="0.3">
      <c r="A42" t="s">
        <v>184</v>
      </c>
      <c r="B42">
        <v>-0.36</v>
      </c>
    </row>
    <row r="43" spans="1:14" x14ac:dyDescent="0.3">
      <c r="A43" t="s">
        <v>185</v>
      </c>
      <c r="B43">
        <v>-1.01</v>
      </c>
    </row>
    <row r="44" spans="1:14" x14ac:dyDescent="0.3">
      <c r="A44" t="s">
        <v>186</v>
      </c>
      <c r="B44">
        <v>-2.52</v>
      </c>
    </row>
    <row r="45" spans="1:14" x14ac:dyDescent="0.3">
      <c r="A45" t="s">
        <v>187</v>
      </c>
      <c r="B45">
        <v>-1.01</v>
      </c>
    </row>
    <row r="46" spans="1:14" x14ac:dyDescent="0.3">
      <c r="A46" t="s">
        <v>188</v>
      </c>
      <c r="B46">
        <v>-0.97</v>
      </c>
    </row>
    <row r="47" spans="1:14" x14ac:dyDescent="0.3">
      <c r="A47" t="s">
        <v>189</v>
      </c>
      <c r="B47">
        <v>-1.87</v>
      </c>
    </row>
    <row r="48" spans="1:14" x14ac:dyDescent="0.3">
      <c r="A48" t="s">
        <v>190</v>
      </c>
      <c r="B48">
        <v>-2.59</v>
      </c>
    </row>
    <row r="49" spans="1:2" x14ac:dyDescent="0.3">
      <c r="A49" t="s">
        <v>191</v>
      </c>
      <c r="B49">
        <v>0</v>
      </c>
    </row>
    <row r="50" spans="1:2" x14ac:dyDescent="0.3">
      <c r="A50" t="s">
        <v>192</v>
      </c>
      <c r="B50">
        <v>-0.3</v>
      </c>
    </row>
    <row r="51" spans="1:2" x14ac:dyDescent="0.3">
      <c r="A51" t="s">
        <v>193</v>
      </c>
      <c r="B51">
        <v>-0.9</v>
      </c>
    </row>
    <row r="52" spans="1:2" x14ac:dyDescent="0.3">
      <c r="A52" t="s">
        <v>194</v>
      </c>
      <c r="B52">
        <v>-0.55000000000000004</v>
      </c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workbookViewId="0">
      <selection activeCell="I1" sqref="I1"/>
    </sheetView>
  </sheetViews>
  <sheetFormatPr defaultRowHeight="14.4" x14ac:dyDescent="0.3"/>
  <cols>
    <col min="9" max="9" width="13.21875" customWidth="1"/>
  </cols>
  <sheetData>
    <row r="1" spans="1:16" ht="28.8" x14ac:dyDescent="0.3">
      <c r="A1" s="2" t="s">
        <v>197</v>
      </c>
      <c r="I1" s="233" t="s">
        <v>259</v>
      </c>
    </row>
    <row r="2" spans="1:16" x14ac:dyDescent="0.3">
      <c r="A2" t="s">
        <v>198</v>
      </c>
    </row>
    <row r="3" spans="1:16" x14ac:dyDescent="0.3">
      <c r="A3" t="s">
        <v>166</v>
      </c>
    </row>
    <row r="5" spans="1:16" x14ac:dyDescent="0.3">
      <c r="A5" t="s">
        <v>167</v>
      </c>
      <c r="B5" t="s">
        <v>168</v>
      </c>
      <c r="C5" t="s">
        <v>169</v>
      </c>
    </row>
    <row r="6" spans="1:16" x14ac:dyDescent="0.3">
      <c r="A6" t="s">
        <v>170</v>
      </c>
      <c r="B6">
        <v>195</v>
      </c>
      <c r="C6" t="s">
        <v>169</v>
      </c>
    </row>
    <row r="7" spans="1:16" x14ac:dyDescent="0.3">
      <c r="A7" t="s">
        <v>171</v>
      </c>
      <c r="B7">
        <v>74.5</v>
      </c>
      <c r="C7" t="s">
        <v>172</v>
      </c>
    </row>
    <row r="8" spans="1:16" x14ac:dyDescent="0.3">
      <c r="A8" t="s">
        <v>173</v>
      </c>
      <c r="B8">
        <v>1.5</v>
      </c>
    </row>
    <row r="9" spans="1:16" x14ac:dyDescent="0.3">
      <c r="P9" s="58" t="s">
        <v>199</v>
      </c>
    </row>
    <row r="10" spans="1:16" x14ac:dyDescent="0.3">
      <c r="A10" t="s">
        <v>200</v>
      </c>
      <c r="P10" s="58" t="s">
        <v>201</v>
      </c>
    </row>
    <row r="11" spans="1:16" x14ac:dyDescent="0.3"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>
        <v>8</v>
      </c>
      <c r="J11">
        <v>9</v>
      </c>
      <c r="K11">
        <v>10</v>
      </c>
      <c r="L11">
        <v>11</v>
      </c>
      <c r="M11">
        <v>12</v>
      </c>
      <c r="N11" t="s">
        <v>177</v>
      </c>
      <c r="P11" s="58" t="s">
        <v>202</v>
      </c>
    </row>
    <row r="12" spans="1:16" x14ac:dyDescent="0.3">
      <c r="A12">
        <v>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16" x14ac:dyDescent="0.3">
      <c r="A13">
        <v>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6" x14ac:dyDescent="0.3">
      <c r="A14">
        <v>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6" x14ac:dyDescent="0.3">
      <c r="A15">
        <v>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6" x14ac:dyDescent="0.3">
      <c r="A16">
        <v>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6" x14ac:dyDescent="0.3">
      <c r="A17">
        <v>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6" x14ac:dyDescent="0.3">
      <c r="A18">
        <v>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6" x14ac:dyDescent="0.3">
      <c r="A19">
        <v>8</v>
      </c>
      <c r="B19" s="127">
        <v>1.03E-5</v>
      </c>
      <c r="C19">
        <v>1.8866000000000001E-2</v>
      </c>
      <c r="D19">
        <v>0</v>
      </c>
      <c r="E19">
        <v>1.8950000000000002E-2</v>
      </c>
      <c r="F19">
        <v>6.2834000000000001E-2</v>
      </c>
      <c r="G19">
        <v>6.6420000000000007E-2</v>
      </c>
      <c r="H19">
        <v>5.3178999999999997E-2</v>
      </c>
      <c r="I19">
        <v>1.9764E-2</v>
      </c>
      <c r="J19">
        <v>3.1300000000000002E-4</v>
      </c>
      <c r="K19">
        <v>0</v>
      </c>
      <c r="L19">
        <v>8.3914000000000002E-2</v>
      </c>
      <c r="M19">
        <v>4.0309999999999999E-3</v>
      </c>
      <c r="N19">
        <v>2.7262000000000002E-2</v>
      </c>
    </row>
    <row r="20" spans="1:16" x14ac:dyDescent="0.3">
      <c r="A20">
        <v>9</v>
      </c>
      <c r="B20">
        <v>0.24273500000000001</v>
      </c>
      <c r="C20">
        <v>0.26640999999999998</v>
      </c>
      <c r="D20">
        <v>0.10395600000000001</v>
      </c>
      <c r="E20">
        <v>0.189468</v>
      </c>
      <c r="F20">
        <v>0.232153</v>
      </c>
      <c r="G20">
        <v>0.21284500000000001</v>
      </c>
      <c r="H20">
        <v>0.193242</v>
      </c>
      <c r="I20">
        <v>0.17245099999999999</v>
      </c>
      <c r="J20">
        <v>0.15423999999999999</v>
      </c>
      <c r="K20">
        <v>0.14241899999999999</v>
      </c>
      <c r="L20">
        <v>0.37471100000000002</v>
      </c>
      <c r="M20">
        <v>0.27296500000000001</v>
      </c>
      <c r="N20">
        <v>0.212479</v>
      </c>
    </row>
    <row r="21" spans="1:16" x14ac:dyDescent="0.3">
      <c r="A21">
        <v>10</v>
      </c>
      <c r="B21">
        <v>0.51332999999999995</v>
      </c>
      <c r="C21">
        <v>0.52448600000000001</v>
      </c>
      <c r="D21">
        <v>0.38312600000000002</v>
      </c>
      <c r="E21">
        <v>0.48496</v>
      </c>
      <c r="F21">
        <v>0.49604500000000001</v>
      </c>
      <c r="G21">
        <v>0.442164</v>
      </c>
      <c r="H21">
        <v>0.438365</v>
      </c>
      <c r="I21">
        <v>0.42588999999999999</v>
      </c>
      <c r="J21">
        <v>0.41189700000000001</v>
      </c>
      <c r="K21">
        <v>0.42186000000000001</v>
      </c>
      <c r="L21">
        <v>0.60685800000000001</v>
      </c>
      <c r="M21">
        <v>0.50673999999999997</v>
      </c>
      <c r="N21">
        <v>0.47070699999999999</v>
      </c>
    </row>
    <row r="22" spans="1:16" x14ac:dyDescent="0.3">
      <c r="A22">
        <v>11</v>
      </c>
      <c r="B22">
        <v>0.71970800000000001</v>
      </c>
      <c r="C22">
        <v>0.73469200000000001</v>
      </c>
      <c r="D22">
        <v>0.64100900000000005</v>
      </c>
      <c r="E22">
        <v>0.72626299999999999</v>
      </c>
      <c r="F22">
        <v>0.71294299999999999</v>
      </c>
      <c r="G22">
        <v>0.64320600000000006</v>
      </c>
      <c r="H22">
        <v>0.64925299999999997</v>
      </c>
      <c r="I22">
        <v>0.64457600000000004</v>
      </c>
      <c r="J22">
        <v>0.63030399999999998</v>
      </c>
      <c r="K22">
        <v>0.65779399999999999</v>
      </c>
      <c r="L22">
        <v>0.78063199999999999</v>
      </c>
      <c r="M22">
        <v>0.69175900000000001</v>
      </c>
      <c r="N22">
        <v>0.68551200000000001</v>
      </c>
    </row>
    <row r="23" spans="1:16" x14ac:dyDescent="0.3">
      <c r="A23">
        <v>12</v>
      </c>
      <c r="B23">
        <v>0.80858699999999994</v>
      </c>
      <c r="C23">
        <v>0.79926900000000001</v>
      </c>
      <c r="D23">
        <v>0.81552800000000003</v>
      </c>
      <c r="E23">
        <v>0.87720699999999996</v>
      </c>
      <c r="F23">
        <v>0.86689400000000005</v>
      </c>
      <c r="G23">
        <v>0.77995000000000003</v>
      </c>
      <c r="H23">
        <v>0.77768300000000001</v>
      </c>
      <c r="I23">
        <v>0.79047599999999996</v>
      </c>
      <c r="J23">
        <v>0.77785800000000005</v>
      </c>
      <c r="K23">
        <v>0.81415300000000002</v>
      </c>
      <c r="L23">
        <v>0.82508999999999999</v>
      </c>
      <c r="M23">
        <v>0.76680800000000005</v>
      </c>
      <c r="N23">
        <v>0.80829200000000001</v>
      </c>
    </row>
    <row r="24" spans="1:16" x14ac:dyDescent="0.3">
      <c r="A24">
        <v>13</v>
      </c>
      <c r="B24">
        <v>0.79939099999999996</v>
      </c>
      <c r="C24">
        <v>0.79535999999999996</v>
      </c>
      <c r="D24">
        <v>0.83630099999999996</v>
      </c>
      <c r="E24">
        <v>0.89911300000000005</v>
      </c>
      <c r="F24">
        <v>0.88777600000000001</v>
      </c>
      <c r="G24">
        <v>0.81471700000000002</v>
      </c>
      <c r="H24">
        <v>0.83041200000000004</v>
      </c>
      <c r="I24">
        <v>0.84678200000000003</v>
      </c>
      <c r="J24">
        <v>0.80382699999999996</v>
      </c>
      <c r="K24">
        <v>0.83251299999999995</v>
      </c>
      <c r="L24">
        <v>0.82548500000000002</v>
      </c>
      <c r="M24">
        <v>0.76944599999999996</v>
      </c>
      <c r="N24">
        <v>0.82861799999999997</v>
      </c>
    </row>
    <row r="25" spans="1:16" x14ac:dyDescent="0.3">
      <c r="A25">
        <v>14</v>
      </c>
      <c r="B25">
        <v>0.79890300000000003</v>
      </c>
      <c r="C25">
        <v>0.76901799999999998</v>
      </c>
      <c r="D25">
        <v>0.84346100000000002</v>
      </c>
      <c r="E25">
        <v>0.88814800000000005</v>
      </c>
      <c r="F25">
        <v>0.88853599999999999</v>
      </c>
      <c r="G25">
        <v>0.80125400000000002</v>
      </c>
      <c r="H25">
        <v>0.82602500000000001</v>
      </c>
      <c r="I25">
        <v>0.80490499999999998</v>
      </c>
      <c r="J25">
        <v>0.79439300000000002</v>
      </c>
      <c r="K25">
        <v>0.81620899999999996</v>
      </c>
      <c r="L25">
        <v>0.79661700000000002</v>
      </c>
      <c r="M25">
        <v>0.75399899999999997</v>
      </c>
      <c r="N25">
        <v>0.81544700000000003</v>
      </c>
    </row>
    <row r="26" spans="1:16" x14ac:dyDescent="0.3">
      <c r="A26">
        <v>15</v>
      </c>
      <c r="B26">
        <v>0.75219999999999998</v>
      </c>
      <c r="C26">
        <v>0.73846000000000001</v>
      </c>
      <c r="D26">
        <v>0.83676700000000004</v>
      </c>
      <c r="E26">
        <v>0.87979099999999999</v>
      </c>
      <c r="F26">
        <v>0.854742</v>
      </c>
      <c r="G26">
        <v>0.75582000000000005</v>
      </c>
      <c r="H26">
        <v>0.80367500000000003</v>
      </c>
      <c r="I26">
        <v>0.77949500000000005</v>
      </c>
      <c r="J26">
        <v>0.77273099999999995</v>
      </c>
      <c r="K26">
        <v>0.80271300000000001</v>
      </c>
      <c r="L26">
        <v>0.70082599999999995</v>
      </c>
      <c r="M26">
        <v>0.67205099999999995</v>
      </c>
      <c r="N26">
        <v>0.77946000000000004</v>
      </c>
    </row>
    <row r="27" spans="1:16" x14ac:dyDescent="0.3">
      <c r="A27">
        <v>16</v>
      </c>
      <c r="B27">
        <v>0.62874099999999999</v>
      </c>
      <c r="C27">
        <v>0.66962299999999997</v>
      </c>
      <c r="D27">
        <v>0.80350999999999995</v>
      </c>
      <c r="E27">
        <v>0.85309299999999999</v>
      </c>
      <c r="F27">
        <v>0.80942400000000003</v>
      </c>
      <c r="G27">
        <v>0.69945999999999997</v>
      </c>
      <c r="H27">
        <v>0.70430300000000001</v>
      </c>
      <c r="I27">
        <v>0.69818100000000005</v>
      </c>
      <c r="J27">
        <v>0.68661700000000003</v>
      </c>
      <c r="K27">
        <v>0.73467499999999997</v>
      </c>
      <c r="L27">
        <v>0.55241600000000002</v>
      </c>
      <c r="M27">
        <v>0.54442400000000002</v>
      </c>
      <c r="N27">
        <v>0.69895300000000005</v>
      </c>
    </row>
    <row r="28" spans="1:16" x14ac:dyDescent="0.3">
      <c r="A28">
        <v>17</v>
      </c>
      <c r="B28">
        <v>0.41428199999999998</v>
      </c>
      <c r="C28">
        <v>0.47292499999999998</v>
      </c>
      <c r="D28">
        <v>0.73285500000000003</v>
      </c>
      <c r="E28">
        <v>0.76838499999999998</v>
      </c>
      <c r="F28">
        <v>0.69049799999999995</v>
      </c>
      <c r="G28">
        <v>0.55141300000000004</v>
      </c>
      <c r="H28">
        <v>0.55466599999999999</v>
      </c>
      <c r="I28" s="168">
        <v>0.55624300000000004</v>
      </c>
      <c r="J28">
        <v>0.53241300000000003</v>
      </c>
      <c r="K28">
        <v>0.57446799999999998</v>
      </c>
      <c r="L28">
        <v>0.29836800000000002</v>
      </c>
      <c r="M28">
        <v>0.28748299999999999</v>
      </c>
      <c r="N28">
        <v>0.53666999999999998</v>
      </c>
      <c r="O28" s="83" t="s">
        <v>196</v>
      </c>
      <c r="P28">
        <f t="shared" ref="P28" si="0">I28/(1.003^(2030-2017))</f>
        <v>0.53499833374414218</v>
      </c>
    </row>
    <row r="29" spans="1:16" x14ac:dyDescent="0.3">
      <c r="A29">
        <v>18</v>
      </c>
      <c r="B29">
        <v>8.0212000000000006E-2</v>
      </c>
      <c r="C29">
        <v>0.194414</v>
      </c>
      <c r="D29">
        <v>0.53356700000000001</v>
      </c>
      <c r="E29">
        <v>0.54123900000000003</v>
      </c>
      <c r="F29">
        <v>0.48839100000000002</v>
      </c>
      <c r="G29">
        <v>0.38894299999999998</v>
      </c>
      <c r="H29">
        <v>0.38129000000000002</v>
      </c>
      <c r="I29">
        <v>0.353937</v>
      </c>
      <c r="J29">
        <v>0.34967900000000002</v>
      </c>
      <c r="K29">
        <v>0.33437</v>
      </c>
      <c r="L29">
        <v>1.903E-3</v>
      </c>
      <c r="M29">
        <v>3.0240000000000002E-3</v>
      </c>
      <c r="N29">
        <v>0.30497299999999999</v>
      </c>
    </row>
    <row r="30" spans="1:16" x14ac:dyDescent="0.3">
      <c r="A30">
        <v>19</v>
      </c>
      <c r="B30">
        <v>0</v>
      </c>
      <c r="C30">
        <v>0</v>
      </c>
      <c r="D30">
        <v>0.26644000000000001</v>
      </c>
      <c r="E30">
        <v>0.27330100000000002</v>
      </c>
      <c r="F30">
        <v>0.26311800000000002</v>
      </c>
      <c r="G30">
        <v>0.202877</v>
      </c>
      <c r="H30">
        <v>0.19984399999999999</v>
      </c>
      <c r="I30">
        <v>0.181561</v>
      </c>
      <c r="J30">
        <v>0.135764</v>
      </c>
      <c r="K30">
        <v>5.9589999999999997E-2</v>
      </c>
      <c r="L30">
        <v>0</v>
      </c>
      <c r="M30">
        <v>0</v>
      </c>
      <c r="N30">
        <v>0.13272700000000001</v>
      </c>
    </row>
    <row r="31" spans="1:16" x14ac:dyDescent="0.3">
      <c r="A31">
        <v>20</v>
      </c>
      <c r="B31">
        <v>0</v>
      </c>
      <c r="C31">
        <v>0</v>
      </c>
      <c r="D31">
        <v>1.684E-3</v>
      </c>
      <c r="E31">
        <v>2.5024000000000001E-2</v>
      </c>
      <c r="F31">
        <v>4.9301999999999999E-2</v>
      </c>
      <c r="G31">
        <v>5.5419999999999997E-2</v>
      </c>
      <c r="H31">
        <v>5.8708000000000003E-2</v>
      </c>
      <c r="I31">
        <v>2.9198000000000002E-2</v>
      </c>
      <c r="J31">
        <v>4.8899999999999996E-4</v>
      </c>
      <c r="K31">
        <v>0</v>
      </c>
      <c r="L31">
        <v>0</v>
      </c>
      <c r="M31">
        <v>0</v>
      </c>
      <c r="N31">
        <v>1.8447999999999999E-2</v>
      </c>
    </row>
    <row r="32" spans="1:16" x14ac:dyDescent="0.3">
      <c r="A32">
        <v>21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4" x14ac:dyDescent="0.3">
      <c r="A33">
        <v>22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</row>
    <row r="34" spans="1:14" x14ac:dyDescent="0.3">
      <c r="A34">
        <v>23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 x14ac:dyDescent="0.3">
      <c r="A35">
        <v>24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4" x14ac:dyDescent="0.3">
      <c r="A36" t="s">
        <v>177</v>
      </c>
      <c r="B36">
        <v>0.239921</v>
      </c>
      <c r="C36">
        <v>0.24931300000000001</v>
      </c>
      <c r="D36">
        <v>0.28325800000000001</v>
      </c>
      <c r="E36">
        <v>0.30937300000000001</v>
      </c>
      <c r="F36">
        <v>0.30427700000000002</v>
      </c>
      <c r="G36">
        <v>0.26727000000000001</v>
      </c>
      <c r="H36">
        <v>0.26961000000000002</v>
      </c>
      <c r="I36">
        <v>0.26264399999999999</v>
      </c>
      <c r="J36">
        <v>0.25210500000000002</v>
      </c>
      <c r="K36">
        <v>0.25794800000000001</v>
      </c>
      <c r="L36">
        <v>0.243617</v>
      </c>
      <c r="M36">
        <v>0.219697</v>
      </c>
      <c r="N36">
        <v>0.26331500000000002</v>
      </c>
    </row>
    <row r="38" spans="1:14" x14ac:dyDescent="0.3">
      <c r="A38" t="s">
        <v>178</v>
      </c>
      <c r="B38" t="s">
        <v>179</v>
      </c>
    </row>
    <row r="39" spans="1:14" x14ac:dyDescent="0.3">
      <c r="A39" t="s">
        <v>180</v>
      </c>
      <c r="B39">
        <v>8.27</v>
      </c>
    </row>
    <row r="40" spans="1:14" x14ac:dyDescent="0.3">
      <c r="A40" t="s">
        <v>181</v>
      </c>
      <c r="B40">
        <v>-1.77</v>
      </c>
    </row>
    <row r="41" spans="1:14" x14ac:dyDescent="0.3">
      <c r="A41" t="s">
        <v>182</v>
      </c>
      <c r="B41">
        <v>-2.0099999999999998</v>
      </c>
    </row>
    <row r="42" spans="1:14" x14ac:dyDescent="0.3">
      <c r="A42" t="s">
        <v>185</v>
      </c>
      <c r="B42">
        <v>-1</v>
      </c>
    </row>
    <row r="43" spans="1:14" x14ac:dyDescent="0.3">
      <c r="A43" t="s">
        <v>183</v>
      </c>
      <c r="B43">
        <v>-7.62</v>
      </c>
    </row>
    <row r="44" spans="1:14" x14ac:dyDescent="0.3">
      <c r="A44" t="s">
        <v>184</v>
      </c>
      <c r="B44">
        <v>0.28999999999999998</v>
      </c>
    </row>
    <row r="45" spans="1:14" x14ac:dyDescent="0.3">
      <c r="A45" t="s">
        <v>186</v>
      </c>
      <c r="B45">
        <v>-2</v>
      </c>
    </row>
    <row r="46" spans="1:14" x14ac:dyDescent="0.3">
      <c r="A46" t="s">
        <v>187</v>
      </c>
      <c r="B46">
        <v>-1.5</v>
      </c>
    </row>
    <row r="47" spans="1:14" x14ac:dyDescent="0.3">
      <c r="A47" t="s">
        <v>203</v>
      </c>
      <c r="B47">
        <v>-1.03</v>
      </c>
    </row>
    <row r="48" spans="1:14" x14ac:dyDescent="0.3">
      <c r="A48" t="s">
        <v>189</v>
      </c>
      <c r="B48">
        <v>-2.12</v>
      </c>
    </row>
    <row r="49" spans="1:2" x14ac:dyDescent="0.3">
      <c r="A49" t="s">
        <v>190</v>
      </c>
      <c r="B49">
        <v>-2.99</v>
      </c>
    </row>
    <row r="50" spans="1:2" x14ac:dyDescent="0.3">
      <c r="A50" t="s">
        <v>191</v>
      </c>
      <c r="B50">
        <v>0</v>
      </c>
    </row>
    <row r="51" spans="1:2" x14ac:dyDescent="0.3">
      <c r="A51" t="s">
        <v>192</v>
      </c>
      <c r="B51">
        <v>-0.3</v>
      </c>
    </row>
    <row r="52" spans="1:2" x14ac:dyDescent="0.3">
      <c r="A52" t="s">
        <v>193</v>
      </c>
      <c r="B52">
        <v>-0.9</v>
      </c>
    </row>
    <row r="53" spans="1:2" x14ac:dyDescent="0.3">
      <c r="A53" t="s">
        <v>194</v>
      </c>
      <c r="B53">
        <v>-0.55000000000000004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Capex &amp; CPVRR Walk from MAP</vt:lpstr>
      <vt:lpstr>CPVRR Sensitivities</vt:lpstr>
      <vt:lpstr>Enjamio 5-13-15 O&amp;M Sensitivity</vt:lpstr>
      <vt:lpstr>O&amp;M Reduction Detail</vt:lpstr>
      <vt:lpstr>MAP O&amp;M</vt:lpstr>
      <vt:lpstr>3-20-15 O&amp;M</vt:lpstr>
      <vt:lpstr>7-10-15 O&amp;M</vt:lpstr>
      <vt:lpstr>MAP NCF &amp; FCV Detail</vt:lpstr>
      <vt:lpstr>7-10-15 NCF &amp; FCV</vt:lpstr>
      <vt:lpstr>AFUDC SWAG Calcs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2016-04-06T22:16:33Z</dcterms:created>
  <dcterms:modified xsi:type="dcterms:W3CDTF">2016-04-06T22:23:55Z</dcterms:modified>
</cp:coreProperties>
</file>