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1980" windowHeight="1170" tabRatio="974"/>
  </bookViews>
  <sheets>
    <sheet name="Summary" sheetId="5" r:id="rId1"/>
    <sheet name="12 CP &amp; 1-13th" sheetId="3" r:id="rId2"/>
    <sheet name="12 CP &amp; 25%" sheetId="4" r:id="rId3"/>
    <sheet name="Average GNCP &amp; Excess" sheetId="7" r:id="rId4"/>
    <sheet name="1CP &amp; AD" sheetId="14" r:id="rId5"/>
    <sheet name="12CP &amp; AD" sheetId="15" r:id="rId6"/>
    <sheet name="Allo Fac Detail  ---  RC - 2010" sheetId="1" state="hidden" r:id="rId7"/>
    <sheet name="2017 GNCP" sheetId="12" r:id="rId8"/>
    <sheet name="2017 SALES" sheetId="13" r:id="rId9"/>
    <sheet name="Total Average Demand" sheetId="9" r:id="rId10"/>
    <sheet name="System Load Factor" sheetId="8" r:id="rId11"/>
    <sheet name="4 CP &amp; 4 CP + Win" sheetId="10" r:id="rId12"/>
    <sheet name="2017 CP" sheetId="11" r:id="rId13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Pal_Workbook_GUID" hidden="1">"8JHMH9DXSMHNF44G668W66ZD"</definedName>
    <definedName name="_xlnm.Print_Area" localSheetId="0">Summary!$A$4:$O$32</definedName>
    <definedName name="_xlnm.Print_Titles" localSheetId="6">'Allo Fac Detail  ---  RC - 2010'!$A:$C,'Allo Fac Detail  ---  RC - 2010'!$1:$4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SAPBEXhrIndnt" hidden="1">1</definedName>
    <definedName name="SAPBEXrevision" hidden="1">1</definedName>
    <definedName name="SAPBEXsysID" hidden="1">"GP1"</definedName>
    <definedName name="SAPBEXwbID" hidden="1">"3VOBL88ZUH0TJHQP6RXNFLORZ"</definedName>
  </definedNames>
  <calcPr calcId="145621"/>
</workbook>
</file>

<file path=xl/calcChain.xml><?xml version="1.0" encoding="utf-8"?>
<calcChain xmlns="http://schemas.openxmlformats.org/spreadsheetml/2006/main">
  <c r="D47" i="7" l="1"/>
  <c r="B31" i="14" l="1"/>
  <c r="B30" i="14"/>
  <c r="B29" i="14"/>
  <c r="I29" i="14" s="1"/>
  <c r="B28" i="14"/>
  <c r="I28" i="14" s="1"/>
  <c r="B27" i="14"/>
  <c r="I27" i="14" s="1"/>
  <c r="B26" i="14"/>
  <c r="I26" i="14" s="1"/>
  <c r="B25" i="14"/>
  <c r="I25" i="14" s="1"/>
  <c r="B24" i="14"/>
  <c r="B23" i="14"/>
  <c r="B22" i="14"/>
  <c r="I22" i="14" s="1"/>
  <c r="B21" i="14"/>
  <c r="I21" i="14" s="1"/>
  <c r="B20" i="14"/>
  <c r="I20" i="14" s="1"/>
  <c r="B19" i="14"/>
  <c r="I19" i="14" s="1"/>
  <c r="B18" i="14"/>
  <c r="I18" i="14" s="1"/>
  <c r="B17" i="14"/>
  <c r="I17" i="14" s="1"/>
  <c r="B16" i="14"/>
  <c r="I16" i="14" s="1"/>
  <c r="B15" i="14"/>
  <c r="I31" i="14"/>
  <c r="I30" i="14"/>
  <c r="I24" i="14"/>
  <c r="I23" i="14"/>
  <c r="B34" i="14" l="1"/>
  <c r="I15" i="14"/>
  <c r="I34" i="14" s="1"/>
  <c r="U11" i="11"/>
  <c r="S11" i="11"/>
  <c r="D47" i="14" l="1"/>
  <c r="B47" i="14"/>
  <c r="J17" i="14"/>
  <c r="J15" i="14"/>
  <c r="J21" i="14"/>
  <c r="J28" i="14"/>
  <c r="J22" i="14"/>
  <c r="J18" i="14"/>
  <c r="J31" i="14"/>
  <c r="J25" i="14"/>
  <c r="J24" i="14"/>
  <c r="J16" i="14"/>
  <c r="J27" i="14"/>
  <c r="J19" i="14"/>
  <c r="J23" i="14"/>
  <c r="J26" i="14"/>
  <c r="J29" i="14"/>
  <c r="J20" i="14"/>
  <c r="J30" i="14"/>
  <c r="J34" i="14" l="1"/>
  <c r="A38" i="13" l="1"/>
  <c r="A37" i="13"/>
  <c r="A36" i="13"/>
  <c r="A35" i="13"/>
  <c r="A34" i="13"/>
  <c r="A33" i="13"/>
  <c r="A32" i="13"/>
  <c r="A31" i="13"/>
  <c r="A30" i="13"/>
  <c r="A26" i="13"/>
  <c r="A25" i="13"/>
  <c r="A24" i="13"/>
  <c r="A23" i="13"/>
  <c r="A22" i="13"/>
  <c r="A21" i="13"/>
  <c r="A20" i="13"/>
  <c r="A19" i="13"/>
  <c r="A18" i="13"/>
  <c r="A17" i="13"/>
  <c r="A16" i="13"/>
  <c r="A15" i="13"/>
  <c r="A14" i="13"/>
  <c r="A13" i="13"/>
  <c r="A12" i="13"/>
  <c r="A11" i="13"/>
  <c r="A10" i="13"/>
  <c r="P34" i="13" l="1"/>
  <c r="B36" i="9" s="1"/>
  <c r="P25" i="13"/>
  <c r="P11" i="13"/>
  <c r="P17" i="13"/>
  <c r="E27" i="13"/>
  <c r="M27" i="13"/>
  <c r="N27" i="13"/>
  <c r="P19" i="13"/>
  <c r="J27" i="13"/>
  <c r="P26" i="13"/>
  <c r="H39" i="13"/>
  <c r="I39" i="13"/>
  <c r="J39" i="13"/>
  <c r="P36" i="13"/>
  <c r="B38" i="9" s="1"/>
  <c r="G27" i="13"/>
  <c r="M39" i="13"/>
  <c r="N39" i="13"/>
  <c r="F27" i="13"/>
  <c r="P20" i="13"/>
  <c r="F39" i="13"/>
  <c r="P37" i="13"/>
  <c r="B39" i="9" s="1"/>
  <c r="N41" i="13" l="1"/>
  <c r="L24" i="14"/>
  <c r="M24" i="14" s="1"/>
  <c r="T24" i="14" s="1"/>
  <c r="L24" i="15"/>
  <c r="M24" i="15" s="1"/>
  <c r="T24" i="15" s="1"/>
  <c r="L26" i="3"/>
  <c r="L26" i="4"/>
  <c r="B24" i="9"/>
  <c r="L24" i="7"/>
  <c r="L22" i="14"/>
  <c r="M22" i="14" s="1"/>
  <c r="T22" i="14" s="1"/>
  <c r="L22" i="15"/>
  <c r="M22" i="15" s="1"/>
  <c r="T22" i="15" s="1"/>
  <c r="L24" i="3"/>
  <c r="L24" i="4"/>
  <c r="B22" i="9"/>
  <c r="L22" i="7"/>
  <c r="L25" i="14"/>
  <c r="M25" i="14" s="1"/>
  <c r="T25" i="14" s="1"/>
  <c r="L25" i="15"/>
  <c r="M25" i="15" s="1"/>
  <c r="T25" i="15" s="1"/>
  <c r="L27" i="4"/>
  <c r="L27" i="3"/>
  <c r="B25" i="9"/>
  <c r="L25" i="7"/>
  <c r="L16" i="14"/>
  <c r="M16" i="14" s="1"/>
  <c r="T16" i="14" s="1"/>
  <c r="L16" i="15"/>
  <c r="M16" i="15" s="1"/>
  <c r="T16" i="15" s="1"/>
  <c r="L18" i="3"/>
  <c r="L18" i="4"/>
  <c r="B16" i="9"/>
  <c r="L16" i="7"/>
  <c r="L31" i="15"/>
  <c r="M31" i="15" s="1"/>
  <c r="T31" i="15" s="1"/>
  <c r="L31" i="14"/>
  <c r="M31" i="14" s="1"/>
  <c r="T31" i="14" s="1"/>
  <c r="L33" i="4"/>
  <c r="L33" i="3"/>
  <c r="B31" i="9"/>
  <c r="L31" i="7"/>
  <c r="L30" i="14"/>
  <c r="M30" i="14" s="1"/>
  <c r="T30" i="14" s="1"/>
  <c r="L30" i="15"/>
  <c r="M30" i="15" s="1"/>
  <c r="T30" i="15" s="1"/>
  <c r="L32" i="4"/>
  <c r="L32" i="3"/>
  <c r="B30" i="9"/>
  <c r="L30" i="7"/>
  <c r="M41" i="13"/>
  <c r="F41" i="13"/>
  <c r="J41" i="13"/>
  <c r="G39" i="13"/>
  <c r="G41" i="13" s="1"/>
  <c r="D27" i="13"/>
  <c r="P10" i="13"/>
  <c r="P23" i="13"/>
  <c r="I27" i="13"/>
  <c r="I41" i="13" s="1"/>
  <c r="P33" i="13"/>
  <c r="B35" i="9" s="1"/>
  <c r="H27" i="13"/>
  <c r="H41" i="13" s="1"/>
  <c r="O27" i="13"/>
  <c r="P38" i="13"/>
  <c r="B40" i="9" s="1"/>
  <c r="P35" i="13"/>
  <c r="B37" i="9" s="1"/>
  <c r="L39" i="13"/>
  <c r="P24" i="13"/>
  <c r="P30" i="13"/>
  <c r="B32" i="9" s="1"/>
  <c r="D39" i="13"/>
  <c r="P31" i="13"/>
  <c r="B33" i="9" s="1"/>
  <c r="P14" i="13"/>
  <c r="P32" i="13"/>
  <c r="B34" i="9" s="1"/>
  <c r="P18" i="13"/>
  <c r="E39" i="13"/>
  <c r="E41" i="13" s="1"/>
  <c r="P12" i="13"/>
  <c r="P21" i="13"/>
  <c r="K39" i="13"/>
  <c r="K27" i="13"/>
  <c r="P13" i="13"/>
  <c r="P22" i="13"/>
  <c r="P15" i="13"/>
  <c r="P16" i="13"/>
  <c r="O39" i="13"/>
  <c r="L27" i="13"/>
  <c r="L41" i="13" s="1"/>
  <c r="K41" i="13" l="1"/>
  <c r="D41" i="13"/>
  <c r="U30" i="15"/>
  <c r="U22" i="15"/>
  <c r="U22" i="14"/>
  <c r="U25" i="15"/>
  <c r="U25" i="14"/>
  <c r="L18" i="15"/>
  <c r="M18" i="15" s="1"/>
  <c r="T18" i="15" s="1"/>
  <c r="L18" i="14"/>
  <c r="M18" i="14" s="1"/>
  <c r="T18" i="14" s="1"/>
  <c r="L20" i="4"/>
  <c r="L20" i="3"/>
  <c r="L18" i="7"/>
  <c r="B18" i="9"/>
  <c r="U16" i="15"/>
  <c r="L17" i="14"/>
  <c r="M17" i="14" s="1"/>
  <c r="T17" i="14" s="1"/>
  <c r="L17" i="15"/>
  <c r="M17" i="15" s="1"/>
  <c r="T17" i="15" s="1"/>
  <c r="L19" i="4"/>
  <c r="L19" i="3"/>
  <c r="B17" i="9"/>
  <c r="L17" i="7"/>
  <c r="L29" i="14"/>
  <c r="M29" i="14" s="1"/>
  <c r="T29" i="14" s="1"/>
  <c r="L29" i="15"/>
  <c r="M29" i="15" s="1"/>
  <c r="T29" i="15" s="1"/>
  <c r="L31" i="4"/>
  <c r="L31" i="3"/>
  <c r="B29" i="9"/>
  <c r="L29" i="7"/>
  <c r="L28" i="14"/>
  <c r="M28" i="14" s="1"/>
  <c r="T28" i="14" s="1"/>
  <c r="L28" i="15"/>
  <c r="M28" i="15" s="1"/>
  <c r="T28" i="15" s="1"/>
  <c r="L30" i="4"/>
  <c r="L30" i="3"/>
  <c r="B28" i="9"/>
  <c r="L28" i="7"/>
  <c r="U16" i="14"/>
  <c r="L27" i="15"/>
  <c r="M27" i="15" s="1"/>
  <c r="T27" i="15" s="1"/>
  <c r="L27" i="14"/>
  <c r="M27" i="14" s="1"/>
  <c r="T27" i="14" s="1"/>
  <c r="L29" i="3"/>
  <c r="L29" i="4"/>
  <c r="L27" i="7"/>
  <c r="B27" i="9"/>
  <c r="L19" i="15"/>
  <c r="M19" i="15" s="1"/>
  <c r="T19" i="15" s="1"/>
  <c r="L19" i="14"/>
  <c r="M19" i="14" s="1"/>
  <c r="T19" i="14" s="1"/>
  <c r="L21" i="3"/>
  <c r="L21" i="4"/>
  <c r="L19" i="7"/>
  <c r="B19" i="9"/>
  <c r="L21" i="15"/>
  <c r="M21" i="15" s="1"/>
  <c r="T21" i="15" s="1"/>
  <c r="L21" i="14"/>
  <c r="M21" i="14" s="1"/>
  <c r="T21" i="14" s="1"/>
  <c r="L23" i="3"/>
  <c r="L23" i="4"/>
  <c r="L21" i="7"/>
  <c r="B21" i="9"/>
  <c r="L15" i="14"/>
  <c r="L15" i="15"/>
  <c r="L17" i="4"/>
  <c r="L17" i="3"/>
  <c r="L15" i="7"/>
  <c r="B15" i="9"/>
  <c r="U31" i="14"/>
  <c r="U24" i="15"/>
  <c r="U30" i="14"/>
  <c r="L26" i="14"/>
  <c r="M26" i="14" s="1"/>
  <c r="T26" i="14" s="1"/>
  <c r="L26" i="15"/>
  <c r="M26" i="15" s="1"/>
  <c r="T26" i="15" s="1"/>
  <c r="L28" i="4"/>
  <c r="L28" i="3"/>
  <c r="L26" i="7"/>
  <c r="B26" i="9"/>
  <c r="L20" i="15"/>
  <c r="M20" i="15" s="1"/>
  <c r="T20" i="15" s="1"/>
  <c r="L20" i="14"/>
  <c r="M20" i="14" s="1"/>
  <c r="T20" i="14" s="1"/>
  <c r="L22" i="3"/>
  <c r="L22" i="4"/>
  <c r="L20" i="7"/>
  <c r="B20" i="9"/>
  <c r="L23" i="15"/>
  <c r="M23" i="15" s="1"/>
  <c r="T23" i="15" s="1"/>
  <c r="L23" i="14"/>
  <c r="M23" i="14" s="1"/>
  <c r="T23" i="14" s="1"/>
  <c r="U23" i="14" s="1"/>
  <c r="L25" i="3"/>
  <c r="L25" i="4"/>
  <c r="L23" i="7"/>
  <c r="B23" i="9"/>
  <c r="U31" i="15"/>
  <c r="U24" i="14"/>
  <c r="P27" i="13"/>
  <c r="P39" i="13"/>
  <c r="O41" i="13"/>
  <c r="U27" i="14" l="1"/>
  <c r="U28" i="15"/>
  <c r="U27" i="15"/>
  <c r="U28" i="14"/>
  <c r="U19" i="14"/>
  <c r="U17" i="15"/>
  <c r="U18" i="14"/>
  <c r="U26" i="14"/>
  <c r="U20" i="14"/>
  <c r="U20" i="15"/>
  <c r="U21" i="15"/>
  <c r="U17" i="14"/>
  <c r="U18" i="15"/>
  <c r="U26" i="15"/>
  <c r="U19" i="15"/>
  <c r="U21" i="14"/>
  <c r="M15" i="15"/>
  <c r="L34" i="15"/>
  <c r="U29" i="15"/>
  <c r="B42" i="9"/>
  <c r="L34" i="7"/>
  <c r="U23" i="15"/>
  <c r="L34" i="14"/>
  <c r="M15" i="14"/>
  <c r="U29" i="14"/>
  <c r="P41" i="13"/>
  <c r="Q27" i="13" s="1"/>
  <c r="Q39" i="13" l="1"/>
  <c r="T15" i="14"/>
  <c r="M34" i="14"/>
  <c r="T15" i="15"/>
  <c r="M34" i="15"/>
  <c r="Q41" i="13"/>
  <c r="Q34" i="13"/>
  <c r="Q36" i="13"/>
  <c r="Q20" i="13"/>
  <c r="Q17" i="13"/>
  <c r="Q19" i="13"/>
  <c r="Q25" i="13"/>
  <c r="Q11" i="13"/>
  <c r="Q26" i="13"/>
  <c r="Q37" i="13"/>
  <c r="Q16" i="13"/>
  <c r="Q12" i="13"/>
  <c r="Q15" i="13"/>
  <c r="Q10" i="13"/>
  <c r="Q32" i="13"/>
  <c r="Q22" i="13"/>
  <c r="Q24" i="13"/>
  <c r="Q18" i="13"/>
  <c r="Q38" i="13"/>
  <c r="Q23" i="13"/>
  <c r="Q30" i="13"/>
  <c r="Q33" i="13"/>
  <c r="Q14" i="13"/>
  <c r="Q35" i="13"/>
  <c r="Q13" i="13"/>
  <c r="Q21" i="13"/>
  <c r="Q31" i="13"/>
  <c r="T34" i="15" l="1"/>
  <c r="U15" i="15"/>
  <c r="U34" i="15" s="1"/>
  <c r="G47" i="15" s="1"/>
  <c r="V15" i="15"/>
  <c r="U15" i="14"/>
  <c r="U34" i="14" s="1"/>
  <c r="G47" i="14" s="1"/>
  <c r="J47" i="14" s="1"/>
  <c r="M47" i="14" s="1"/>
  <c r="T34" i="14"/>
  <c r="A38" i="12"/>
  <c r="A37" i="12"/>
  <c r="A36" i="12"/>
  <c r="A35" i="12"/>
  <c r="A34" i="12"/>
  <c r="A33" i="12"/>
  <c r="A32" i="12"/>
  <c r="A31" i="12"/>
  <c r="A30" i="12"/>
  <c r="A26" i="12"/>
  <c r="A25" i="12"/>
  <c r="A24" i="12"/>
  <c r="A23" i="12"/>
  <c r="A22" i="12"/>
  <c r="A21" i="12"/>
  <c r="A20" i="12"/>
  <c r="A19" i="12"/>
  <c r="A18" i="12"/>
  <c r="A17" i="12"/>
  <c r="A16" i="12"/>
  <c r="A15" i="12"/>
  <c r="A14" i="12"/>
  <c r="A13" i="12"/>
  <c r="A12" i="12"/>
  <c r="A11" i="12"/>
  <c r="A10" i="12"/>
  <c r="V23" i="14" l="1"/>
  <c r="X23" i="14" s="1"/>
  <c r="H22" i="5" s="1"/>
  <c r="V25" i="14"/>
  <c r="X25" i="14" s="1"/>
  <c r="H24" i="5" s="1"/>
  <c r="V24" i="14"/>
  <c r="X24" i="14" s="1"/>
  <c r="H23" i="5" s="1"/>
  <c r="V30" i="14"/>
  <c r="X30" i="14" s="1"/>
  <c r="H29" i="5" s="1"/>
  <c r="V22" i="14"/>
  <c r="X22" i="14" s="1"/>
  <c r="H21" i="5" s="1"/>
  <c r="V16" i="14"/>
  <c r="X16" i="14" s="1"/>
  <c r="H15" i="5" s="1"/>
  <c r="V31" i="14"/>
  <c r="X31" i="14" s="1"/>
  <c r="H30" i="5" s="1"/>
  <c r="V27" i="14"/>
  <c r="X27" i="14" s="1"/>
  <c r="H26" i="5" s="1"/>
  <c r="V29" i="14"/>
  <c r="X29" i="14" s="1"/>
  <c r="H28" i="5" s="1"/>
  <c r="V19" i="14"/>
  <c r="X19" i="14" s="1"/>
  <c r="H18" i="5" s="1"/>
  <c r="V20" i="14"/>
  <c r="X20" i="14" s="1"/>
  <c r="H19" i="5" s="1"/>
  <c r="V18" i="14"/>
  <c r="X18" i="14" s="1"/>
  <c r="H17" i="5" s="1"/>
  <c r="V21" i="14"/>
  <c r="X21" i="14" s="1"/>
  <c r="H20" i="5" s="1"/>
  <c r="V17" i="14"/>
  <c r="X17" i="14" s="1"/>
  <c r="H16" i="5" s="1"/>
  <c r="V26" i="14"/>
  <c r="X26" i="14" s="1"/>
  <c r="H25" i="5" s="1"/>
  <c r="V28" i="14"/>
  <c r="X28" i="14" s="1"/>
  <c r="H27" i="5" s="1"/>
  <c r="V15" i="14"/>
  <c r="V30" i="15"/>
  <c r="V16" i="15"/>
  <c r="V24" i="15"/>
  <c r="V22" i="15"/>
  <c r="V31" i="15"/>
  <c r="V25" i="15"/>
  <c r="V28" i="15"/>
  <c r="V26" i="15"/>
  <c r="V27" i="15"/>
  <c r="V21" i="15"/>
  <c r="V18" i="15"/>
  <c r="V17" i="15"/>
  <c r="V20" i="15"/>
  <c r="V19" i="15"/>
  <c r="V23" i="15"/>
  <c r="V29" i="15"/>
  <c r="L27" i="12"/>
  <c r="N39" i="12"/>
  <c r="V34" i="15" l="1"/>
  <c r="V34" i="14"/>
  <c r="X15" i="14"/>
  <c r="Q12" i="12"/>
  <c r="B17" i="7" s="1"/>
  <c r="P12" i="12"/>
  <c r="Q17" i="12"/>
  <c r="B22" i="7" s="1"/>
  <c r="P17" i="12"/>
  <c r="P32" i="12"/>
  <c r="Q32" i="12"/>
  <c r="I39" i="12"/>
  <c r="G39" i="12"/>
  <c r="Q14" i="12"/>
  <c r="B19" i="7" s="1"/>
  <c r="P14" i="12"/>
  <c r="M27" i="12"/>
  <c r="P34" i="12"/>
  <c r="Q34" i="12"/>
  <c r="P37" i="12"/>
  <c r="Q37" i="12"/>
  <c r="P35" i="12"/>
  <c r="Q35" i="12"/>
  <c r="K39" i="12"/>
  <c r="Q13" i="12"/>
  <c r="B18" i="7" s="1"/>
  <c r="P13" i="12"/>
  <c r="K27" i="12"/>
  <c r="K41" i="12" s="1"/>
  <c r="J39" i="12"/>
  <c r="O39" i="12"/>
  <c r="J27" i="12"/>
  <c r="N27" i="12"/>
  <c r="N41" i="12" s="1"/>
  <c r="E27" i="12"/>
  <c r="P30" i="12"/>
  <c r="Q30" i="12"/>
  <c r="D39" i="12"/>
  <c r="H39" i="12"/>
  <c r="Q22" i="12"/>
  <c r="B27" i="7" s="1"/>
  <c r="P22" i="12"/>
  <c r="P33" i="12"/>
  <c r="Q33" i="12"/>
  <c r="F27" i="12"/>
  <c r="L39" i="12"/>
  <c r="L41" i="12" s="1"/>
  <c r="Q18" i="12"/>
  <c r="B23" i="7" s="1"/>
  <c r="P18" i="12"/>
  <c r="G27" i="12"/>
  <c r="Q24" i="12"/>
  <c r="B29" i="7" s="1"/>
  <c r="P24" i="12"/>
  <c r="P31" i="12"/>
  <c r="Q31" i="12"/>
  <c r="P38" i="12"/>
  <c r="Q38" i="12"/>
  <c r="E39" i="12"/>
  <c r="Q19" i="12"/>
  <c r="B24" i="7" s="1"/>
  <c r="P19" i="12"/>
  <c r="H27" i="12"/>
  <c r="O27" i="12"/>
  <c r="P36" i="12"/>
  <c r="Q36" i="12"/>
  <c r="Q20" i="12"/>
  <c r="B25" i="7" s="1"/>
  <c r="P20" i="12"/>
  <c r="Q21" i="12"/>
  <c r="B26" i="7" s="1"/>
  <c r="P21" i="12"/>
  <c r="M39" i="12"/>
  <c r="Q25" i="12"/>
  <c r="B30" i="7" s="1"/>
  <c r="P25" i="12"/>
  <c r="Q15" i="12"/>
  <c r="B20" i="7" s="1"/>
  <c r="P15" i="12"/>
  <c r="I27" i="12"/>
  <c r="Q26" i="12"/>
  <c r="B31" i="7" s="1"/>
  <c r="P26" i="12"/>
  <c r="Q16" i="12"/>
  <c r="B21" i="7" s="1"/>
  <c r="P16" i="12"/>
  <c r="F39" i="12"/>
  <c r="Q11" i="12"/>
  <c r="B16" i="7" s="1"/>
  <c r="P11" i="12"/>
  <c r="D27" i="12"/>
  <c r="D41" i="12" s="1"/>
  <c r="Q10" i="12"/>
  <c r="B15" i="7" s="1"/>
  <c r="P10" i="12"/>
  <c r="Q23" i="12"/>
  <c r="B28" i="7" s="1"/>
  <c r="P23" i="12"/>
  <c r="B34" i="7" l="1"/>
  <c r="H14" i="5"/>
  <c r="X34" i="14"/>
  <c r="G41" i="12"/>
  <c r="M41" i="12"/>
  <c r="Q27" i="12"/>
  <c r="I41" i="12"/>
  <c r="Q39" i="12"/>
  <c r="O41" i="12"/>
  <c r="E41" i="12"/>
  <c r="P39" i="12"/>
  <c r="H41" i="12"/>
  <c r="F41" i="12"/>
  <c r="P27" i="12"/>
  <c r="J41" i="12"/>
  <c r="P41" i="12" l="1"/>
  <c r="Q41" i="12"/>
  <c r="R27" i="12" s="1"/>
  <c r="R34" i="12" l="1"/>
  <c r="R22" i="12"/>
  <c r="R20" i="12"/>
  <c r="R26" i="12"/>
  <c r="R18" i="12"/>
  <c r="R10" i="12"/>
  <c r="R19" i="12"/>
  <c r="R13" i="12"/>
  <c r="R23" i="12"/>
  <c r="R30" i="12"/>
  <c r="R33" i="12"/>
  <c r="R35" i="12"/>
  <c r="R14" i="12"/>
  <c r="R21" i="12"/>
  <c r="R36" i="12"/>
  <c r="R37" i="12"/>
  <c r="R11" i="12"/>
  <c r="R25" i="12"/>
  <c r="R16" i="12"/>
  <c r="R24" i="12"/>
  <c r="R32" i="12"/>
  <c r="R38" i="12"/>
  <c r="R15" i="12"/>
  <c r="R12" i="12"/>
  <c r="R17" i="12"/>
  <c r="R31" i="12"/>
  <c r="R39" i="12"/>
  <c r="R41" i="12" s="1"/>
  <c r="U10" i="11" l="1"/>
  <c r="L17" i="10"/>
  <c r="L16" i="10"/>
  <c r="B17" i="10"/>
  <c r="S10" i="11" l="1"/>
  <c r="B16" i="10" s="1"/>
  <c r="U38" i="11"/>
  <c r="U37" i="11"/>
  <c r="U36" i="11"/>
  <c r="U35" i="11"/>
  <c r="U34" i="11"/>
  <c r="U33" i="11"/>
  <c r="U32" i="11"/>
  <c r="U31" i="11"/>
  <c r="U30" i="11"/>
  <c r="U26" i="11"/>
  <c r="L32" i="10" s="1"/>
  <c r="U25" i="11"/>
  <c r="L31" i="10" s="1"/>
  <c r="U24" i="11"/>
  <c r="L30" i="10" s="1"/>
  <c r="U23" i="11"/>
  <c r="L29" i="10" s="1"/>
  <c r="U22" i="11"/>
  <c r="L28" i="10" s="1"/>
  <c r="U21" i="11"/>
  <c r="L27" i="10" s="1"/>
  <c r="U20" i="11"/>
  <c r="L26" i="10" s="1"/>
  <c r="U19" i="11"/>
  <c r="L25" i="10" s="1"/>
  <c r="U18" i="11"/>
  <c r="L24" i="10" s="1"/>
  <c r="U17" i="11"/>
  <c r="L23" i="10" s="1"/>
  <c r="U16" i="11"/>
  <c r="L22" i="10" s="1"/>
  <c r="U15" i="11"/>
  <c r="L21" i="10" s="1"/>
  <c r="U14" i="11"/>
  <c r="L20" i="10" s="1"/>
  <c r="U13" i="11"/>
  <c r="L19" i="10" s="1"/>
  <c r="U12" i="11"/>
  <c r="L18" i="10" s="1"/>
  <c r="S38" i="11"/>
  <c r="S37" i="11"/>
  <c r="S36" i="11"/>
  <c r="S35" i="11"/>
  <c r="S34" i="11"/>
  <c r="S33" i="11"/>
  <c r="S32" i="11"/>
  <c r="S31" i="11"/>
  <c r="S30" i="11"/>
  <c r="S26" i="11"/>
  <c r="B32" i="10" s="1"/>
  <c r="S25" i="11"/>
  <c r="B31" i="10" s="1"/>
  <c r="S24" i="11"/>
  <c r="B30" i="10" s="1"/>
  <c r="S23" i="11"/>
  <c r="B29" i="10" s="1"/>
  <c r="S22" i="11"/>
  <c r="B28" i="10" s="1"/>
  <c r="S21" i="11"/>
  <c r="B27" i="10" s="1"/>
  <c r="S20" i="11"/>
  <c r="B26" i="10" s="1"/>
  <c r="S19" i="11"/>
  <c r="B25" i="10" s="1"/>
  <c r="S18" i="11"/>
  <c r="B24" i="10" s="1"/>
  <c r="S17" i="11"/>
  <c r="B23" i="10" s="1"/>
  <c r="S16" i="11"/>
  <c r="B22" i="10" s="1"/>
  <c r="S15" i="11"/>
  <c r="B21" i="10" s="1"/>
  <c r="S14" i="11"/>
  <c r="B20" i="10" s="1"/>
  <c r="S13" i="11"/>
  <c r="B19" i="10" s="1"/>
  <c r="S12" i="11"/>
  <c r="B18" i="10" s="1"/>
  <c r="A38" i="11"/>
  <c r="A37" i="11"/>
  <c r="A36" i="11"/>
  <c r="A35" i="11"/>
  <c r="A34" i="11"/>
  <c r="A33" i="11"/>
  <c r="A32" i="11"/>
  <c r="A31" i="11"/>
  <c r="I39" i="11"/>
  <c r="H39" i="11"/>
  <c r="A30" i="11"/>
  <c r="A26" i="11"/>
  <c r="A25" i="11"/>
  <c r="A24" i="11"/>
  <c r="A23" i="11"/>
  <c r="A22" i="11"/>
  <c r="A21" i="11"/>
  <c r="A20" i="11"/>
  <c r="A19" i="11"/>
  <c r="A18" i="11"/>
  <c r="A17" i="11"/>
  <c r="A16" i="11"/>
  <c r="A15" i="11"/>
  <c r="A14" i="11"/>
  <c r="H27" i="11"/>
  <c r="A13" i="11"/>
  <c r="A12" i="11"/>
  <c r="A11" i="11"/>
  <c r="O27" i="11"/>
  <c r="G27" i="11"/>
  <c r="A10" i="11"/>
  <c r="U39" i="11" l="1"/>
  <c r="L35" i="10"/>
  <c r="B35" i="10"/>
  <c r="U27" i="11"/>
  <c r="U41" i="11"/>
  <c r="V27" i="11" s="1"/>
  <c r="V39" i="11"/>
  <c r="H41" i="11"/>
  <c r="V25" i="11"/>
  <c r="V20" i="11"/>
  <c r="V12" i="11"/>
  <c r="V19" i="11"/>
  <c r="V34" i="11"/>
  <c r="V15" i="11"/>
  <c r="N27" i="11"/>
  <c r="O39" i="11"/>
  <c r="O41" i="11" s="1"/>
  <c r="J27" i="11"/>
  <c r="P32" i="11"/>
  <c r="Q32" i="11" s="1"/>
  <c r="L36" i="10" l="1"/>
  <c r="V13" i="11"/>
  <c r="V21" i="11"/>
  <c r="V11" i="11"/>
  <c r="V35" i="11"/>
  <c r="V31" i="11"/>
  <c r="V36" i="11"/>
  <c r="V18" i="11"/>
  <c r="V26" i="11"/>
  <c r="V37" i="11"/>
  <c r="V23" i="11"/>
  <c r="V32" i="11"/>
  <c r="V16" i="11"/>
  <c r="V41" i="11"/>
  <c r="V30" i="11"/>
  <c r="V14" i="11"/>
  <c r="V24" i="11"/>
  <c r="V38" i="11"/>
  <c r="V33" i="11"/>
  <c r="V17" i="11"/>
  <c r="V10" i="11"/>
  <c r="V22" i="11"/>
  <c r="P33" i="11"/>
  <c r="Q33" i="11" s="1"/>
  <c r="K27" i="11"/>
  <c r="P37" i="11"/>
  <c r="Q37" i="11" s="1"/>
  <c r="L39" i="11"/>
  <c r="K39" i="11"/>
  <c r="P24" i="11"/>
  <c r="Q24" i="11" s="1"/>
  <c r="P20" i="11"/>
  <c r="Q20" i="11" s="1"/>
  <c r="P16" i="11"/>
  <c r="Q16" i="11" s="1"/>
  <c r="P12" i="11"/>
  <c r="Q12" i="11" s="1"/>
  <c r="J39" i="11"/>
  <c r="J41" i="11" s="1"/>
  <c r="G39" i="11"/>
  <c r="G41" i="11" s="1"/>
  <c r="F39" i="11"/>
  <c r="M39" i="11"/>
  <c r="I27" i="11"/>
  <c r="I41" i="11" s="1"/>
  <c r="F27" i="11"/>
  <c r="M27" i="11"/>
  <c r="P30" i="11"/>
  <c r="Q30" i="11" s="1"/>
  <c r="D39" i="11"/>
  <c r="E39" i="11"/>
  <c r="P23" i="11"/>
  <c r="Q23" i="11" s="1"/>
  <c r="P19" i="11"/>
  <c r="Q19" i="11" s="1"/>
  <c r="P15" i="11"/>
  <c r="Q15" i="11" s="1"/>
  <c r="P11" i="11"/>
  <c r="Q11" i="11" s="1"/>
  <c r="P35" i="11"/>
  <c r="Q35" i="11" s="1"/>
  <c r="N39" i="11"/>
  <c r="E27" i="11"/>
  <c r="L27" i="11"/>
  <c r="P34" i="11"/>
  <c r="Q34" i="11" s="1"/>
  <c r="P26" i="11"/>
  <c r="Q26" i="11" s="1"/>
  <c r="P22" i="11"/>
  <c r="Q22" i="11" s="1"/>
  <c r="P18" i="11"/>
  <c r="Q18" i="11" s="1"/>
  <c r="P14" i="11"/>
  <c r="Q14" i="11" s="1"/>
  <c r="D27" i="11"/>
  <c r="P10" i="11"/>
  <c r="Q10" i="11" s="1"/>
  <c r="P36" i="11"/>
  <c r="Q36" i="11" s="1"/>
  <c r="P25" i="11"/>
  <c r="Q25" i="11" s="1"/>
  <c r="P21" i="11"/>
  <c r="Q21" i="11" s="1"/>
  <c r="P17" i="11"/>
  <c r="Q17" i="11" s="1"/>
  <c r="P13" i="11"/>
  <c r="Q13" i="11" s="1"/>
  <c r="P38" i="11"/>
  <c r="Q38" i="11" s="1"/>
  <c r="P31" i="11"/>
  <c r="Q31" i="11" s="1"/>
  <c r="N41" i="11"/>
  <c r="Q39" i="11" l="1"/>
  <c r="B26" i="15"/>
  <c r="I26" i="15" s="1"/>
  <c r="B28" i="4"/>
  <c r="B28" i="3"/>
  <c r="B31" i="15"/>
  <c r="I31" i="15" s="1"/>
  <c r="B33" i="4"/>
  <c r="B33" i="3"/>
  <c r="B24" i="15"/>
  <c r="I24" i="15" s="1"/>
  <c r="B26" i="3"/>
  <c r="B26" i="4"/>
  <c r="B28" i="15"/>
  <c r="I28" i="15" s="1"/>
  <c r="B30" i="3"/>
  <c r="B30" i="4"/>
  <c r="B15" i="15"/>
  <c r="B17" i="4"/>
  <c r="B17" i="3"/>
  <c r="Q27" i="11"/>
  <c r="Q41" i="11" s="1"/>
  <c r="R26" i="11" s="1"/>
  <c r="R10" i="11"/>
  <c r="B19" i="15"/>
  <c r="I19" i="15" s="1"/>
  <c r="B21" i="3"/>
  <c r="B21" i="4"/>
  <c r="B21" i="15"/>
  <c r="I21" i="15" s="1"/>
  <c r="B23" i="3"/>
  <c r="B23" i="4"/>
  <c r="R16" i="11"/>
  <c r="B17" i="15"/>
  <c r="I17" i="15" s="1"/>
  <c r="B19" i="4"/>
  <c r="B19" i="3"/>
  <c r="B18" i="15"/>
  <c r="I18" i="15" s="1"/>
  <c r="B20" i="3"/>
  <c r="B20" i="4"/>
  <c r="R13" i="11"/>
  <c r="B23" i="15"/>
  <c r="I23" i="15" s="1"/>
  <c r="B25" i="4"/>
  <c r="B25" i="3"/>
  <c r="B16" i="15"/>
  <c r="I16" i="15" s="1"/>
  <c r="B18" i="3"/>
  <c r="B18" i="4"/>
  <c r="R11" i="11"/>
  <c r="B25" i="15"/>
  <c r="I25" i="15" s="1"/>
  <c r="B27" i="4"/>
  <c r="B27" i="3"/>
  <c r="B30" i="15"/>
  <c r="I30" i="15" s="1"/>
  <c r="B32" i="4"/>
  <c r="B32" i="3"/>
  <c r="R25" i="11"/>
  <c r="B22" i="15"/>
  <c r="I22" i="15" s="1"/>
  <c r="B24" i="4"/>
  <c r="B24" i="3"/>
  <c r="B27" i="15"/>
  <c r="I27" i="15" s="1"/>
  <c r="B29" i="4"/>
  <c r="B29" i="3"/>
  <c r="R22" i="11"/>
  <c r="B20" i="15"/>
  <c r="I20" i="15" s="1"/>
  <c r="B22" i="4"/>
  <c r="B22" i="3"/>
  <c r="B29" i="15"/>
  <c r="I29" i="15" s="1"/>
  <c r="B31" i="4"/>
  <c r="B31" i="3"/>
  <c r="R24" i="11"/>
  <c r="L41" i="11"/>
  <c r="P27" i="11"/>
  <c r="E41" i="11"/>
  <c r="D41" i="11"/>
  <c r="P39" i="11"/>
  <c r="K41" i="11"/>
  <c r="M41" i="11"/>
  <c r="F41" i="11"/>
  <c r="R23" i="11" l="1"/>
  <c r="R27" i="11"/>
  <c r="R32" i="11"/>
  <c r="R34" i="11"/>
  <c r="R33" i="11"/>
  <c r="R36" i="11"/>
  <c r="R31" i="11"/>
  <c r="R35" i="11"/>
  <c r="R38" i="11"/>
  <c r="R37" i="11"/>
  <c r="R39" i="11"/>
  <c r="R41" i="11" s="1"/>
  <c r="R30" i="11"/>
  <c r="R19" i="11"/>
  <c r="R21" i="11"/>
  <c r="R15" i="11"/>
  <c r="R17" i="11"/>
  <c r="R20" i="11"/>
  <c r="R18" i="11"/>
  <c r="R12" i="11"/>
  <c r="R14" i="11"/>
  <c r="B34" i="15"/>
  <c r="I15" i="15"/>
  <c r="I34" i="15" s="1"/>
  <c r="J31" i="15" s="1"/>
  <c r="D49" i="11"/>
  <c r="E49" i="11" s="1"/>
  <c r="D47" i="11"/>
  <c r="E47" i="11" s="1"/>
  <c r="D44" i="11"/>
  <c r="E44" i="11" s="1"/>
  <c r="D45" i="11"/>
  <c r="E45" i="11" s="1"/>
  <c r="D46" i="11"/>
  <c r="E46" i="11" s="1"/>
  <c r="P41" i="11"/>
  <c r="S39" i="11"/>
  <c r="S27" i="11"/>
  <c r="B36" i="10" s="1"/>
  <c r="J21" i="15" l="1"/>
  <c r="J26" i="15"/>
  <c r="J30" i="15"/>
  <c r="J18" i="15"/>
  <c r="J24" i="15"/>
  <c r="J29" i="15"/>
  <c r="J15" i="15"/>
  <c r="B47" i="15"/>
  <c r="D47" i="15"/>
  <c r="J16" i="15"/>
  <c r="J25" i="15"/>
  <c r="J28" i="15"/>
  <c r="J27" i="15"/>
  <c r="J17" i="15"/>
  <c r="J19" i="15"/>
  <c r="J23" i="15"/>
  <c r="J22" i="15"/>
  <c r="J20" i="15"/>
  <c r="S41" i="11"/>
  <c r="T10" i="11" s="1"/>
  <c r="J47" i="15" l="1"/>
  <c r="X24" i="15" s="1"/>
  <c r="I23" i="5" s="1"/>
  <c r="J34" i="15"/>
  <c r="X26" i="15"/>
  <c r="I25" i="5" s="1"/>
  <c r="X31" i="15"/>
  <c r="I30" i="5" s="1"/>
  <c r="X21" i="15"/>
  <c r="I20" i="5" s="1"/>
  <c r="M47" i="15"/>
  <c r="X30" i="15"/>
  <c r="I29" i="5" s="1"/>
  <c r="X22" i="15"/>
  <c r="I21" i="5" s="1"/>
  <c r="X29" i="15"/>
  <c r="I28" i="5" s="1"/>
  <c r="X20" i="15"/>
  <c r="I19" i="5" s="1"/>
  <c r="T39" i="11"/>
  <c r="T27" i="11"/>
  <c r="T41" i="11" s="1"/>
  <c r="T32" i="11"/>
  <c r="T15" i="11"/>
  <c r="T19" i="11"/>
  <c r="T22" i="11"/>
  <c r="T24" i="11"/>
  <c r="T34" i="11"/>
  <c r="T21" i="11"/>
  <c r="T37" i="11"/>
  <c r="T31" i="11"/>
  <c r="T38" i="11"/>
  <c r="T23" i="11"/>
  <c r="T17" i="11"/>
  <c r="T14" i="11"/>
  <c r="T13" i="11"/>
  <c r="T26" i="11"/>
  <c r="T35" i="11"/>
  <c r="T18" i="11"/>
  <c r="T25" i="11"/>
  <c r="T11" i="11"/>
  <c r="T12" i="11"/>
  <c r="T16" i="11"/>
  <c r="T20" i="11"/>
  <c r="T33" i="11"/>
  <c r="T36" i="11"/>
  <c r="T30" i="11"/>
  <c r="X25" i="15" l="1"/>
  <c r="I24" i="5" s="1"/>
  <c r="X17" i="15"/>
  <c r="I16" i="5" s="1"/>
  <c r="X18" i="15"/>
  <c r="I17" i="5" s="1"/>
  <c r="X15" i="15"/>
  <c r="X16" i="15"/>
  <c r="I15" i="5" s="1"/>
  <c r="X19" i="15"/>
  <c r="I18" i="5" s="1"/>
  <c r="X28" i="15"/>
  <c r="I27" i="5" s="1"/>
  <c r="X27" i="15"/>
  <c r="I26" i="5" s="1"/>
  <c r="X23" i="15"/>
  <c r="I22" i="5" s="1"/>
  <c r="I14" i="5"/>
  <c r="X34" i="15"/>
  <c r="S32" i="10"/>
  <c r="I32" i="10"/>
  <c r="S31" i="10"/>
  <c r="I31" i="10"/>
  <c r="S30" i="10"/>
  <c r="I30" i="10"/>
  <c r="S29" i="10"/>
  <c r="I29" i="10"/>
  <c r="S28" i="10"/>
  <c r="I28" i="10"/>
  <c r="S27" i="10"/>
  <c r="I27" i="10"/>
  <c r="S26" i="10"/>
  <c r="I26" i="10"/>
  <c r="S25" i="10"/>
  <c r="I25" i="10"/>
  <c r="S24" i="10"/>
  <c r="I24" i="10"/>
  <c r="S23" i="10"/>
  <c r="I23" i="10"/>
  <c r="S22" i="10"/>
  <c r="I22" i="10"/>
  <c r="S21" i="10"/>
  <c r="I21" i="10"/>
  <c r="S20" i="10"/>
  <c r="I20" i="10"/>
  <c r="S19" i="10"/>
  <c r="I19" i="10"/>
  <c r="S18" i="10"/>
  <c r="I18" i="10"/>
  <c r="S17" i="10"/>
  <c r="I17" i="10"/>
  <c r="S16" i="10"/>
  <c r="I16" i="10"/>
  <c r="B6" i="8"/>
  <c r="C30" i="8"/>
  <c r="B28" i="8"/>
  <c r="S35" i="10" l="1"/>
  <c r="T16" i="10" s="1"/>
  <c r="G14" i="5" s="1"/>
  <c r="I35" i="10"/>
  <c r="J27" i="10" s="1"/>
  <c r="F25" i="5" s="1"/>
  <c r="T23" i="10"/>
  <c r="G21" i="5" s="1"/>
  <c r="T32" i="10"/>
  <c r="G30" i="5" s="1"/>
  <c r="T17" i="10"/>
  <c r="G15" i="5" s="1"/>
  <c r="T21" i="10"/>
  <c r="G19" i="5" s="1"/>
  <c r="T25" i="10"/>
  <c r="G23" i="5" s="1"/>
  <c r="T30" i="10"/>
  <c r="G28" i="5" s="1"/>
  <c r="T18" i="10" l="1"/>
  <c r="G16" i="5" s="1"/>
  <c r="T26" i="10"/>
  <c r="G24" i="5" s="1"/>
  <c r="T22" i="10"/>
  <c r="G20" i="5" s="1"/>
  <c r="T24" i="10"/>
  <c r="G22" i="5" s="1"/>
  <c r="T20" i="10"/>
  <c r="G18" i="5" s="1"/>
  <c r="T27" i="10"/>
  <c r="G25" i="5" s="1"/>
  <c r="J20" i="10"/>
  <c r="F18" i="5" s="1"/>
  <c r="T31" i="10"/>
  <c r="G29" i="5" s="1"/>
  <c r="J16" i="10"/>
  <c r="F14" i="5" s="1"/>
  <c r="T28" i="10"/>
  <c r="G26" i="5" s="1"/>
  <c r="J31" i="10"/>
  <c r="F29" i="5" s="1"/>
  <c r="T29" i="10"/>
  <c r="G27" i="5" s="1"/>
  <c r="T19" i="10"/>
  <c r="G17" i="5" s="1"/>
  <c r="J21" i="10"/>
  <c r="F19" i="5" s="1"/>
  <c r="J29" i="10"/>
  <c r="F27" i="5" s="1"/>
  <c r="J22" i="10"/>
  <c r="F20" i="5" s="1"/>
  <c r="J28" i="10"/>
  <c r="F26" i="5" s="1"/>
  <c r="J18" i="10"/>
  <c r="F16" i="5" s="1"/>
  <c r="J24" i="10"/>
  <c r="F22" i="5" s="1"/>
  <c r="J30" i="10"/>
  <c r="F28" i="5" s="1"/>
  <c r="J25" i="10"/>
  <c r="F23" i="5" s="1"/>
  <c r="J23" i="10"/>
  <c r="F21" i="5" s="1"/>
  <c r="J26" i="10"/>
  <c r="F24" i="5" s="1"/>
  <c r="J17" i="10"/>
  <c r="F15" i="5" s="1"/>
  <c r="J32" i="10"/>
  <c r="F30" i="5" s="1"/>
  <c r="J19" i="10"/>
  <c r="F17" i="5" s="1"/>
  <c r="F32" i="5" l="1"/>
  <c r="G32" i="5"/>
  <c r="T35" i="10"/>
  <c r="J35" i="10"/>
  <c r="I33" i="9" l="1"/>
  <c r="J33" i="9" s="1"/>
  <c r="I40" i="9"/>
  <c r="I39" i="9"/>
  <c r="I38" i="9"/>
  <c r="I37" i="9"/>
  <c r="I36" i="9"/>
  <c r="J36" i="9" s="1"/>
  <c r="I35" i="9"/>
  <c r="I34" i="9"/>
  <c r="I32" i="9"/>
  <c r="J39" i="9" l="1"/>
  <c r="J34" i="9"/>
  <c r="J37" i="9"/>
  <c r="J32" i="9"/>
  <c r="J40" i="9"/>
  <c r="J35" i="9"/>
  <c r="J38" i="9"/>
  <c r="M31" i="7" l="1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5" i="7"/>
  <c r="M16" i="7"/>
  <c r="M34" i="7" l="1"/>
  <c r="I15" i="9"/>
  <c r="I16" i="9"/>
  <c r="J16" i="9" s="1"/>
  <c r="I17" i="9"/>
  <c r="J17" i="9" s="1"/>
  <c r="I18" i="9"/>
  <c r="J18" i="9" s="1"/>
  <c r="I19" i="9"/>
  <c r="J19" i="9" s="1"/>
  <c r="I20" i="9"/>
  <c r="J20" i="9" s="1"/>
  <c r="I21" i="9"/>
  <c r="J21" i="9" s="1"/>
  <c r="I22" i="9"/>
  <c r="I23" i="9"/>
  <c r="J23" i="9" s="1"/>
  <c r="I24" i="9"/>
  <c r="J24" i="9" s="1"/>
  <c r="I25" i="9"/>
  <c r="J25" i="9" s="1"/>
  <c r="I26" i="9"/>
  <c r="J26" i="9" s="1"/>
  <c r="I27" i="9"/>
  <c r="J27" i="9" s="1"/>
  <c r="I28" i="9"/>
  <c r="J28" i="9" s="1"/>
  <c r="I29" i="9"/>
  <c r="J29" i="9" s="1"/>
  <c r="I30" i="9"/>
  <c r="I31" i="9"/>
  <c r="J31" i="9" s="1"/>
  <c r="T29" i="7"/>
  <c r="T15" i="7"/>
  <c r="T16" i="7"/>
  <c r="U16" i="7" s="1"/>
  <c r="T17" i="7"/>
  <c r="U17" i="7" s="1"/>
  <c r="T18" i="7"/>
  <c r="U18" i="7" s="1"/>
  <c r="T19" i="7"/>
  <c r="U19" i="7" s="1"/>
  <c r="T20" i="7"/>
  <c r="T21" i="7"/>
  <c r="U21" i="7" s="1"/>
  <c r="T22" i="7"/>
  <c r="U22" i="7" s="1"/>
  <c r="T23" i="7"/>
  <c r="U23" i="7" s="1"/>
  <c r="T24" i="7"/>
  <c r="U24" i="7" s="1"/>
  <c r="T25" i="7"/>
  <c r="U25" i="7" s="1"/>
  <c r="T26" i="7"/>
  <c r="U26" i="7" s="1"/>
  <c r="T27" i="7"/>
  <c r="U27" i="7" s="1"/>
  <c r="T28" i="7"/>
  <c r="U28" i="7" s="1"/>
  <c r="T30" i="7"/>
  <c r="U30" i="7" s="1"/>
  <c r="T31" i="7"/>
  <c r="U31" i="7" s="1"/>
  <c r="I29" i="7"/>
  <c r="I15" i="7"/>
  <c r="I16" i="7"/>
  <c r="I17" i="7"/>
  <c r="I18" i="7"/>
  <c r="I19" i="7"/>
  <c r="I20" i="7"/>
  <c r="U20" i="7"/>
  <c r="I21" i="7"/>
  <c r="I22" i="7"/>
  <c r="I23" i="7"/>
  <c r="I24" i="7"/>
  <c r="I25" i="7"/>
  <c r="I26" i="7"/>
  <c r="I27" i="7"/>
  <c r="I28" i="7"/>
  <c r="I30" i="7"/>
  <c r="I31" i="7"/>
  <c r="I17" i="4"/>
  <c r="S17" i="4"/>
  <c r="I18" i="4"/>
  <c r="S18" i="4"/>
  <c r="I19" i="4"/>
  <c r="S19" i="4"/>
  <c r="I20" i="4"/>
  <c r="S20" i="4"/>
  <c r="I21" i="4"/>
  <c r="S21" i="4"/>
  <c r="I22" i="4"/>
  <c r="S22" i="4"/>
  <c r="I23" i="4"/>
  <c r="S23" i="4"/>
  <c r="I24" i="4"/>
  <c r="S24" i="4"/>
  <c r="I25" i="4"/>
  <c r="S25" i="4"/>
  <c r="I26" i="4"/>
  <c r="S26" i="4"/>
  <c r="I27" i="4"/>
  <c r="S27" i="4"/>
  <c r="I28" i="4"/>
  <c r="S28" i="4"/>
  <c r="I29" i="4"/>
  <c r="S29" i="4"/>
  <c r="I30" i="4"/>
  <c r="S30" i="4"/>
  <c r="I31" i="4"/>
  <c r="S31" i="4"/>
  <c r="I32" i="4"/>
  <c r="S32" i="4"/>
  <c r="I33" i="4"/>
  <c r="S33" i="4"/>
  <c r="B36" i="4"/>
  <c r="L36" i="4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S32" i="3"/>
  <c r="S33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L36" i="3"/>
  <c r="D387" i="1"/>
  <c r="D221" i="1"/>
  <c r="D155" i="1"/>
  <c r="D141" i="1"/>
  <c r="D31" i="1"/>
  <c r="B36" i="3"/>
  <c r="D26" i="1"/>
  <c r="D11" i="1"/>
  <c r="D16" i="1"/>
  <c r="D21" i="1"/>
  <c r="D35" i="1"/>
  <c r="D41" i="1"/>
  <c r="D47" i="1"/>
  <c r="D52" i="1"/>
  <c r="D59" i="1"/>
  <c r="D63" i="1"/>
  <c r="D67" i="1"/>
  <c r="D71" i="1"/>
  <c r="D75" i="1"/>
  <c r="D78" i="1"/>
  <c r="D82" i="1"/>
  <c r="D86" i="1"/>
  <c r="D92" i="1"/>
  <c r="D98" i="1"/>
  <c r="D104" i="1"/>
  <c r="D109" i="1"/>
  <c r="D113" i="1"/>
  <c r="D116" i="1"/>
  <c r="D120" i="1"/>
  <c r="D123" i="1"/>
  <c r="D127" i="1"/>
  <c r="D131" i="1"/>
  <c r="D136" i="1"/>
  <c r="D145" i="1"/>
  <c r="D151" i="1"/>
  <c r="D164" i="1"/>
  <c r="D170" i="1"/>
  <c r="D176" i="1"/>
  <c r="D181" i="1"/>
  <c r="D190" i="1"/>
  <c r="D199" i="1"/>
  <c r="D205" i="1"/>
  <c r="D211" i="1"/>
  <c r="D216" i="1"/>
  <c r="D225" i="1"/>
  <c r="D231" i="1"/>
  <c r="D237" i="1"/>
  <c r="D242" i="1"/>
  <c r="D249" i="1"/>
  <c r="D253" i="1"/>
  <c r="D257" i="1"/>
  <c r="D261" i="1"/>
  <c r="D265" i="1"/>
  <c r="D268" i="1"/>
  <c r="D272" i="1"/>
  <c r="D276" i="1"/>
  <c r="D282" i="1"/>
  <c r="D288" i="1"/>
  <c r="D294" i="1"/>
  <c r="D299" i="1"/>
  <c r="D303" i="1"/>
  <c r="D306" i="1"/>
  <c r="D310" i="1"/>
  <c r="D313" i="1"/>
  <c r="D317" i="1"/>
  <c r="D321" i="1"/>
  <c r="D326" i="1"/>
  <c r="D327" i="1" s="1"/>
  <c r="D333" i="1"/>
  <c r="D342" i="1"/>
  <c r="D348" i="1"/>
  <c r="D354" i="1"/>
  <c r="D359" i="1"/>
  <c r="D367" i="1"/>
  <c r="D375" i="1"/>
  <c r="D382" i="1"/>
  <c r="D389" i="1"/>
  <c r="D395" i="1"/>
  <c r="D399" i="1"/>
  <c r="D402" i="1"/>
  <c r="D405" i="1"/>
  <c r="D408" i="1"/>
  <c r="D411" i="1"/>
  <c r="D415" i="1"/>
  <c r="D419" i="1"/>
  <c r="D426" i="1"/>
  <c r="D432" i="1"/>
  <c r="D438" i="1"/>
  <c r="D444" i="1"/>
  <c r="D450" i="1"/>
  <c r="D456" i="1"/>
  <c r="D462" i="1"/>
  <c r="D468" i="1"/>
  <c r="X28" i="7" l="1"/>
  <c r="I34" i="7"/>
  <c r="J16" i="7" s="1"/>
  <c r="U15" i="7"/>
  <c r="X15" i="7" s="1"/>
  <c r="T34" i="7"/>
  <c r="V19" i="7" s="1"/>
  <c r="S36" i="3"/>
  <c r="T23" i="3" s="1"/>
  <c r="I42" i="9"/>
  <c r="K22" i="9" s="1"/>
  <c r="J15" i="9"/>
  <c r="X31" i="7"/>
  <c r="X22" i="7"/>
  <c r="X27" i="7"/>
  <c r="X26" i="7"/>
  <c r="X16" i="7"/>
  <c r="X24" i="7"/>
  <c r="X19" i="7"/>
  <c r="X23" i="7"/>
  <c r="X18" i="7"/>
  <c r="X20" i="7"/>
  <c r="X25" i="7"/>
  <c r="I36" i="4"/>
  <c r="J29" i="4" s="1"/>
  <c r="T29" i="3"/>
  <c r="T28" i="3"/>
  <c r="X21" i="7"/>
  <c r="X17" i="7"/>
  <c r="X30" i="7"/>
  <c r="I36" i="3"/>
  <c r="J31" i="3" s="1"/>
  <c r="U29" i="7"/>
  <c r="J30" i="9"/>
  <c r="J22" i="9"/>
  <c r="S36" i="4"/>
  <c r="T18" i="4" s="1"/>
  <c r="T20" i="3" l="1"/>
  <c r="T27" i="3"/>
  <c r="T17" i="3"/>
  <c r="T33" i="3"/>
  <c r="T25" i="3"/>
  <c r="T24" i="3"/>
  <c r="T26" i="3"/>
  <c r="T18" i="3"/>
  <c r="T21" i="3"/>
  <c r="T32" i="3"/>
  <c r="T22" i="3"/>
  <c r="T19" i="3"/>
  <c r="J19" i="4"/>
  <c r="K15" i="9"/>
  <c r="K31" i="9"/>
  <c r="K21" i="9"/>
  <c r="K29" i="9"/>
  <c r="K25" i="9"/>
  <c r="K24" i="9"/>
  <c r="K27" i="9"/>
  <c r="K19" i="9"/>
  <c r="K26" i="9"/>
  <c r="U34" i="7"/>
  <c r="T31" i="3"/>
  <c r="V31" i="3" s="1"/>
  <c r="D28" i="5" s="1"/>
  <c r="T30" i="3"/>
  <c r="J30" i="7"/>
  <c r="J19" i="7"/>
  <c r="K18" i="9"/>
  <c r="K28" i="9"/>
  <c r="K17" i="9"/>
  <c r="K20" i="9"/>
  <c r="K30" i="9"/>
  <c r="K23" i="9"/>
  <c r="K16" i="9"/>
  <c r="K33" i="9"/>
  <c r="K36" i="9"/>
  <c r="K37" i="9"/>
  <c r="K38" i="9"/>
  <c r="K32" i="9"/>
  <c r="K39" i="9"/>
  <c r="K40" i="9"/>
  <c r="K34" i="9"/>
  <c r="K35" i="9"/>
  <c r="J15" i="7"/>
  <c r="J25" i="7"/>
  <c r="J28" i="7"/>
  <c r="J20" i="7"/>
  <c r="J18" i="7"/>
  <c r="J26" i="7"/>
  <c r="J27" i="7"/>
  <c r="J31" i="7"/>
  <c r="J21" i="7"/>
  <c r="J24" i="7"/>
  <c r="J22" i="7"/>
  <c r="J17" i="7"/>
  <c r="J29" i="7"/>
  <c r="J23" i="7"/>
  <c r="V15" i="7"/>
  <c r="V22" i="7"/>
  <c r="V23" i="7"/>
  <c r="V26" i="7"/>
  <c r="V17" i="7"/>
  <c r="V21" i="7"/>
  <c r="V16" i="7"/>
  <c r="V27" i="7"/>
  <c r="V24" i="7"/>
  <c r="X29" i="7"/>
  <c r="V28" i="7"/>
  <c r="V18" i="7"/>
  <c r="V30" i="7"/>
  <c r="V29" i="7"/>
  <c r="V20" i="7"/>
  <c r="V31" i="7"/>
  <c r="V25" i="7"/>
  <c r="J33" i="4"/>
  <c r="J23" i="4"/>
  <c r="J21" i="4"/>
  <c r="J31" i="4"/>
  <c r="J18" i="4"/>
  <c r="V18" i="4" s="1"/>
  <c r="C15" i="5" s="1"/>
  <c r="J26" i="4"/>
  <c r="J24" i="4"/>
  <c r="J22" i="4"/>
  <c r="J17" i="4"/>
  <c r="J27" i="4"/>
  <c r="J30" i="4"/>
  <c r="J28" i="4"/>
  <c r="J32" i="4"/>
  <c r="J20" i="4"/>
  <c r="J25" i="4"/>
  <c r="J18" i="3"/>
  <c r="J33" i="3"/>
  <c r="V33" i="3" s="1"/>
  <c r="J20" i="3"/>
  <c r="V20" i="3" s="1"/>
  <c r="J32" i="3"/>
  <c r="J19" i="3"/>
  <c r="J27" i="3"/>
  <c r="V27" i="3" s="1"/>
  <c r="J17" i="3"/>
  <c r="J25" i="3"/>
  <c r="V25" i="3" s="1"/>
  <c r="J28" i="3"/>
  <c r="V28" i="3" s="1"/>
  <c r="J21" i="3"/>
  <c r="J29" i="3"/>
  <c r="V29" i="3" s="1"/>
  <c r="J23" i="3"/>
  <c r="V23" i="3" s="1"/>
  <c r="J22" i="3"/>
  <c r="J24" i="3"/>
  <c r="V24" i="3" s="1"/>
  <c r="J26" i="3"/>
  <c r="V26" i="3" s="1"/>
  <c r="D21" i="5" s="1"/>
  <c r="J42" i="9"/>
  <c r="B4" i="8" s="1"/>
  <c r="T20" i="4"/>
  <c r="T27" i="4"/>
  <c r="T33" i="4"/>
  <c r="T17" i="4"/>
  <c r="T25" i="4"/>
  <c r="T31" i="4"/>
  <c r="V31" i="4" s="1"/>
  <c r="C28" i="5" s="1"/>
  <c r="T21" i="4"/>
  <c r="T19" i="4"/>
  <c r="T23" i="4"/>
  <c r="T29" i="4"/>
  <c r="V29" i="4" s="1"/>
  <c r="C26" i="5" s="1"/>
  <c r="T24" i="4"/>
  <c r="T26" i="4"/>
  <c r="T22" i="4"/>
  <c r="T28" i="4"/>
  <c r="T30" i="4"/>
  <c r="T32" i="4"/>
  <c r="J30" i="3"/>
  <c r="B47" i="7" l="1"/>
  <c r="G47" i="7" s="1"/>
  <c r="I47" i="7" s="1"/>
  <c r="B8" i="8"/>
  <c r="V32" i="4"/>
  <c r="C29" i="5" s="1"/>
  <c r="N29" i="5" s="1"/>
  <c r="J28" i="5"/>
  <c r="N15" i="5"/>
  <c r="O15" i="5"/>
  <c r="M15" i="5"/>
  <c r="L15" i="5"/>
  <c r="N28" i="5"/>
  <c r="O28" i="5"/>
  <c r="M28" i="5"/>
  <c r="L28" i="5"/>
  <c r="N26" i="5"/>
  <c r="O26" i="5"/>
  <c r="M26" i="5"/>
  <c r="L26" i="5"/>
  <c r="D23" i="5"/>
  <c r="V30" i="3"/>
  <c r="D22" i="5" s="1"/>
  <c r="V21" i="3"/>
  <c r="T36" i="3"/>
  <c r="V18" i="3"/>
  <c r="D15" i="5" s="1"/>
  <c r="J15" i="5" s="1"/>
  <c r="V32" i="3"/>
  <c r="D29" i="5" s="1"/>
  <c r="V19" i="4"/>
  <c r="C16" i="5" s="1"/>
  <c r="V22" i="3"/>
  <c r="V19" i="3"/>
  <c r="D16" i="5" s="1"/>
  <c r="J34" i="7"/>
  <c r="X34" i="7"/>
  <c r="Y30" i="7" s="1"/>
  <c r="V34" i="7"/>
  <c r="D30" i="5"/>
  <c r="D17" i="5"/>
  <c r="V30" i="4"/>
  <c r="C27" i="5" s="1"/>
  <c r="V28" i="4"/>
  <c r="C25" i="5" s="1"/>
  <c r="V21" i="4"/>
  <c r="C18" i="5" s="1"/>
  <c r="V33" i="4"/>
  <c r="C30" i="5" s="1"/>
  <c r="V23" i="4"/>
  <c r="C20" i="5" s="1"/>
  <c r="V27" i="4"/>
  <c r="C24" i="5" s="1"/>
  <c r="V22" i="4"/>
  <c r="C19" i="5" s="1"/>
  <c r="D19" i="5"/>
  <c r="D24" i="5"/>
  <c r="D20" i="5"/>
  <c r="D25" i="5"/>
  <c r="J25" i="5" s="1"/>
  <c r="D18" i="5"/>
  <c r="V20" i="4"/>
  <c r="C17" i="5" s="1"/>
  <c r="K42" i="9"/>
  <c r="J36" i="4"/>
  <c r="V26" i="4"/>
  <c r="C23" i="5" s="1"/>
  <c r="V24" i="4"/>
  <c r="C21" i="5" s="1"/>
  <c r="J21" i="5" s="1"/>
  <c r="V25" i="4"/>
  <c r="C22" i="5" s="1"/>
  <c r="V17" i="3"/>
  <c r="D14" i="5" s="1"/>
  <c r="J36" i="3"/>
  <c r="T36" i="4"/>
  <c r="V17" i="4"/>
  <c r="C14" i="5" s="1"/>
  <c r="Y23" i="7" l="1"/>
  <c r="AA23" i="7" s="1"/>
  <c r="D27" i="5"/>
  <c r="J27" i="5" s="1"/>
  <c r="Y17" i="7"/>
  <c r="AA17" i="7" s="1"/>
  <c r="Y26" i="7"/>
  <c r="J14" i="5"/>
  <c r="J16" i="5"/>
  <c r="J20" i="5"/>
  <c r="L29" i="5"/>
  <c r="M29" i="5"/>
  <c r="J29" i="5"/>
  <c r="O29" i="5"/>
  <c r="J24" i="5"/>
  <c r="J30" i="5"/>
  <c r="J18" i="5"/>
  <c r="N17" i="5"/>
  <c r="O17" i="5"/>
  <c r="L17" i="5"/>
  <c r="M17" i="5"/>
  <c r="N24" i="5"/>
  <c r="O24" i="5"/>
  <c r="L24" i="5"/>
  <c r="M24" i="5"/>
  <c r="N19" i="5"/>
  <c r="O19" i="5"/>
  <c r="M19" i="5"/>
  <c r="L19" i="5"/>
  <c r="N20" i="5"/>
  <c r="O20" i="5"/>
  <c r="L20" i="5"/>
  <c r="M20" i="5"/>
  <c r="N30" i="5"/>
  <c r="O30" i="5"/>
  <c r="M30" i="5"/>
  <c r="L30" i="5"/>
  <c r="J22" i="5"/>
  <c r="N18" i="5"/>
  <c r="O18" i="5"/>
  <c r="M18" i="5"/>
  <c r="L18" i="5"/>
  <c r="N21" i="5"/>
  <c r="O21" i="5"/>
  <c r="M21" i="5"/>
  <c r="L21" i="5"/>
  <c r="N25" i="5"/>
  <c r="O25" i="5"/>
  <c r="L25" i="5"/>
  <c r="M25" i="5"/>
  <c r="J23" i="5"/>
  <c r="C32" i="5"/>
  <c r="N14" i="5"/>
  <c r="O14" i="5"/>
  <c r="M14" i="5"/>
  <c r="L14" i="5"/>
  <c r="N23" i="5"/>
  <c r="O23" i="5"/>
  <c r="M23" i="5"/>
  <c r="L23" i="5"/>
  <c r="N27" i="5"/>
  <c r="O27" i="5"/>
  <c r="M27" i="5"/>
  <c r="L27" i="5"/>
  <c r="N16" i="5"/>
  <c r="O16" i="5"/>
  <c r="L16" i="5"/>
  <c r="M16" i="5"/>
  <c r="N22" i="5"/>
  <c r="O22" i="5"/>
  <c r="M22" i="5"/>
  <c r="L22" i="5"/>
  <c r="J19" i="5"/>
  <c r="J17" i="5"/>
  <c r="Y31" i="7"/>
  <c r="AA31" i="7" s="1"/>
  <c r="E30" i="5" s="1"/>
  <c r="K30" i="5" s="1"/>
  <c r="Y19" i="7"/>
  <c r="AA19" i="7" s="1"/>
  <c r="Y21" i="7"/>
  <c r="AA21" i="7" s="1"/>
  <c r="AA30" i="7"/>
  <c r="E29" i="5" s="1"/>
  <c r="K29" i="5" s="1"/>
  <c r="AA26" i="7"/>
  <c r="E25" i="5" s="1"/>
  <c r="K25" i="5" s="1"/>
  <c r="Y16" i="7"/>
  <c r="AA16" i="7" s="1"/>
  <c r="Y18" i="7"/>
  <c r="AA18" i="7" s="1"/>
  <c r="E17" i="5" s="1"/>
  <c r="K17" i="5" s="1"/>
  <c r="Y27" i="7"/>
  <c r="AA27" i="7" s="1"/>
  <c r="E26" i="5" s="1"/>
  <c r="Y29" i="7"/>
  <c r="AA29" i="7" s="1"/>
  <c r="Y24" i="7"/>
  <c r="AA24" i="7" s="1"/>
  <c r="Y28" i="7"/>
  <c r="AA28" i="7" s="1"/>
  <c r="Y22" i="7"/>
  <c r="AA22" i="7" s="1"/>
  <c r="E21" i="5" s="1"/>
  <c r="K21" i="5" s="1"/>
  <c r="Y20" i="7"/>
  <c r="AA20" i="7" s="1"/>
  <c r="E19" i="5" s="1"/>
  <c r="K19" i="5" s="1"/>
  <c r="Y25" i="7"/>
  <c r="AA25" i="7" s="1"/>
  <c r="Y15" i="7"/>
  <c r="AA15" i="7" s="1"/>
  <c r="E23" i="5"/>
  <c r="K23" i="5" s="1"/>
  <c r="E27" i="5"/>
  <c r="K27" i="5" s="1"/>
  <c r="E15" i="5"/>
  <c r="K15" i="5" s="1"/>
  <c r="E22" i="5"/>
  <c r="K22" i="5" s="1"/>
  <c r="E18" i="5"/>
  <c r="K18" i="5" s="1"/>
  <c r="E28" i="5"/>
  <c r="K28" i="5" s="1"/>
  <c r="E24" i="5"/>
  <c r="K24" i="5" s="1"/>
  <c r="E16" i="5"/>
  <c r="K16" i="5" s="1"/>
  <c r="E20" i="5"/>
  <c r="K20" i="5" s="1"/>
  <c r="E14" i="5"/>
  <c r="K14" i="5" s="1"/>
  <c r="V36" i="4"/>
  <c r="D26" i="5"/>
  <c r="J26" i="5" s="1"/>
  <c r="V36" i="3"/>
  <c r="Y34" i="7" l="1"/>
  <c r="N32" i="5"/>
  <c r="O32" i="5"/>
  <c r="L32" i="5"/>
  <c r="AA34" i="7"/>
  <c r="D32" i="5"/>
  <c r="M32" i="5"/>
  <c r="K26" i="5"/>
  <c r="J32" i="5" l="1"/>
  <c r="E32" i="5"/>
  <c r="I32" i="5"/>
  <c r="H32" i="5"/>
  <c r="K32" i="5"/>
</calcChain>
</file>

<file path=xl/sharedStrings.xml><?xml version="1.0" encoding="utf-8"?>
<sst xmlns="http://schemas.openxmlformats.org/spreadsheetml/2006/main" count="1407" uniqueCount="376">
  <si>
    <t>REPORT: Allocation Factor Calculation Detail Report</t>
  </si>
  <si>
    <t>SCENARIO: RC - 2010 TEST YEAR</t>
  </si>
  <si>
    <t>Component</t>
  </si>
  <si>
    <t xml:space="preserve"> </t>
  </si>
  <si>
    <t>Company Total</t>
  </si>
  <si>
    <t>CILC-1D</t>
  </si>
  <si>
    <t>CILC-1G</t>
  </si>
  <si>
    <t>CILC-1T</t>
  </si>
  <si>
    <t>CS1</t>
  </si>
  <si>
    <t>CS2</t>
  </si>
  <si>
    <t>CS3</t>
  </si>
  <si>
    <t>GS1</t>
  </si>
  <si>
    <t>GSCU-1</t>
  </si>
  <si>
    <t>GSD1</t>
  </si>
  <si>
    <t>GSLD1</t>
  </si>
  <si>
    <t>GSLD2</t>
  </si>
  <si>
    <t>GSLD3</t>
  </si>
  <si>
    <t>HLFT1</t>
  </si>
  <si>
    <t>HLFT2</t>
  </si>
  <si>
    <t>HLFT3</t>
  </si>
  <si>
    <t>MET</t>
  </si>
  <si>
    <t>OL-1</t>
  </si>
  <si>
    <t>OS-2</t>
  </si>
  <si>
    <t>RS1</t>
  </si>
  <si>
    <t>SDTR-1</t>
  </si>
  <si>
    <t>SDTR-2</t>
  </si>
  <si>
    <t>SDTR-3</t>
  </si>
  <si>
    <t>SL-1</t>
  </si>
  <si>
    <t>SL-2</t>
  </si>
  <si>
    <t>SST-DST</t>
  </si>
  <si>
    <t>SST-TST</t>
  </si>
  <si>
    <t>CONTRACT</t>
  </si>
  <si>
    <t>MDCSWM</t>
  </si>
  <si>
    <t>SEMINOLE</t>
  </si>
  <si>
    <t>LCEC</t>
  </si>
  <si>
    <t>FPL101</t>
  </si>
  <si>
    <t>CP_12</t>
  </si>
  <si>
    <t>+</t>
  </si>
  <si>
    <t>ADJ_CP12</t>
  </si>
  <si>
    <t>ADJ_CP12-2</t>
  </si>
  <si>
    <t>ADJ_CP12-3</t>
  </si>
  <si>
    <t>KW_TRANS</t>
  </si>
  <si>
    <t>*</t>
  </si>
  <si>
    <t>KW_EXP_TR</t>
  </si>
  <si>
    <t>Transmission 12CP at Generator</t>
  </si>
  <si>
    <t>KW_PRI</t>
  </si>
  <si>
    <t>KW_EXP_PR</t>
  </si>
  <si>
    <t>Primary 12CP at Generator</t>
  </si>
  <si>
    <t>KW_SEC</t>
  </si>
  <si>
    <t>KW_EXP_SEC</t>
  </si>
  <si>
    <t>Secondary 12CP at Generator</t>
  </si>
  <si>
    <t>Average of the 12 Months CP Demand</t>
  </si>
  <si>
    <t>FPL102</t>
  </si>
  <si>
    <t>Average 12CP Demand - Excluding FKEC and Key West contracts</t>
  </si>
  <si>
    <t>FPL103</t>
  </si>
  <si>
    <t>CAP_MW</t>
  </si>
  <si>
    <t>NUCL_SUM</t>
  </si>
  <si>
    <t>-</t>
  </si>
  <si>
    <t>(1) Non Nuclear Summer Capacity</t>
  </si>
  <si>
    <t>1</t>
  </si>
  <si>
    <t>RES_MARG</t>
  </si>
  <si>
    <t>(2) Total system capacity including reserve margin</t>
  </si>
  <si>
    <t>/</t>
  </si>
  <si>
    <t>(3) Non-Nuclear system Capacity net of reserve margin(1)/(2)</t>
  </si>
  <si>
    <t>CP_SUM-CNTR</t>
  </si>
  <si>
    <t>1000</t>
  </si>
  <si>
    <t>(4) Contract Rate class CP Summer (MW)</t>
  </si>
  <si>
    <t>(5) Contract rate class contribution to (3) = (4)/(3)</t>
  </si>
  <si>
    <t>(6) Exclude Contract Rate Class</t>
  </si>
  <si>
    <t>(7) NonContract system contribution to (3)</t>
  </si>
  <si>
    <t>SIGN_CHANGE</t>
  </si>
  <si>
    <t>(8) Contract Adjustment</t>
  </si>
  <si>
    <t>(9) Transmission 12CP at Generator</t>
  </si>
  <si>
    <t>(10) Primary 12CP at Generator</t>
  </si>
  <si>
    <t>(11) Secondary 12CP at Generator</t>
  </si>
  <si>
    <t>(12) Average 12CP at Generator</t>
  </si>
  <si>
    <t>(13) Average 12CP Excluding Contract (MW)</t>
  </si>
  <si>
    <t>Tot</t>
  </si>
  <si>
    <t>(14) Total System 12 CP Excluding Contract</t>
  </si>
  <si>
    <t>(15) % Class Contibution to 12 CP</t>
  </si>
  <si>
    <t>(16) Class Contribution Including Contract</t>
  </si>
  <si>
    <t>(17) Adjusted CP 12 cntribution X adjusted system capcity</t>
  </si>
  <si>
    <t>(18) Negative Adjusted CP</t>
  </si>
  <si>
    <t>Average 12CP Demand - Adjusted for FKEC and Key West co</t>
  </si>
  <si>
    <t>FPL104</t>
  </si>
  <si>
    <t>GCP_1</t>
  </si>
  <si>
    <t>ADJ_GCP</t>
  </si>
  <si>
    <t>Primary GCP at Generator</t>
  </si>
  <si>
    <t>Secondary GCP at Generator</t>
  </si>
  <si>
    <t>Distribution Group Coincident Peak Demand</t>
  </si>
  <si>
    <t>FPL106</t>
  </si>
  <si>
    <t>Average 12CP Demand at Generator - Retail Only</t>
  </si>
  <si>
    <t>FPL109</t>
  </si>
  <si>
    <t>NCP_1</t>
  </si>
  <si>
    <t>ADJ_NCP</t>
  </si>
  <si>
    <t>Secondary Customer Non-Coincident Peak Demand</t>
  </si>
  <si>
    <t>FPL201</t>
  </si>
  <si>
    <t>TOTAL_MWH</t>
  </si>
  <si>
    <t>ADJ_MWH</t>
  </si>
  <si>
    <t>KWH_TRANS</t>
  </si>
  <si>
    <t>KWH_EXP_TR</t>
  </si>
  <si>
    <t>Transmission Billed Sales (MWH) at Generator</t>
  </si>
  <si>
    <t>KWH_PRI</t>
  </si>
  <si>
    <t>KWH_EXP_PR</t>
  </si>
  <si>
    <t>Primary Billed Sales (MWH) at Generator</t>
  </si>
  <si>
    <t>KWH_SEC</t>
  </si>
  <si>
    <t>KWH_EXP_SEC</t>
  </si>
  <si>
    <t>Secondary Billed Sales (MWH) at Generator</t>
  </si>
  <si>
    <t>MWH Sales</t>
  </si>
  <si>
    <t>FPL202</t>
  </si>
  <si>
    <t>MWH Sales - Excluding FKEC and Key West contracts</t>
  </si>
  <si>
    <t>FPL203</t>
  </si>
  <si>
    <t>(9) Transmission Billed Sales at Generator</t>
  </si>
  <si>
    <t>(10) Primary Billed Sales at Generator</t>
  </si>
  <si>
    <t>(11) Secondary Billed Sales at Generator</t>
  </si>
  <si>
    <t>(12) Average Billed Sales at Generator</t>
  </si>
  <si>
    <t>(13) Average Billed Sales Excluding Contract (MWH)</t>
  </si>
  <si>
    <t>(14) Total System Billed Sales Excluding Contract</t>
  </si>
  <si>
    <t>(15) % Class Contibution to Billed Sales</t>
  </si>
  <si>
    <t>(17) Adjusted Sales cntribution X adjusted system capcity</t>
  </si>
  <si>
    <t>(18) Negative Adjusted Billed Sales</t>
  </si>
  <si>
    <t>MWH Sales - Adjusted for FKEC and Key West contracts</t>
  </si>
  <si>
    <t>FPL206</t>
  </si>
  <si>
    <t>MWH Sales at Meter</t>
  </si>
  <si>
    <t>FPL207</t>
  </si>
  <si>
    <t>Transmission Billed Sales (KWH) at Generator</t>
  </si>
  <si>
    <t>Primary Billed Sales (KWH) at Generator</t>
  </si>
  <si>
    <t>Secondary Billed Sales (KWH) at Generator</t>
  </si>
  <si>
    <t>Average Billed Sales (KWH) at Generator - Retail Only</t>
  </si>
  <si>
    <t>AVG_CUST</t>
  </si>
  <si>
    <t>ADJ_CUST</t>
  </si>
  <si>
    <t>FPL303</t>
  </si>
  <si>
    <t>CUST_SEC</t>
  </si>
  <si>
    <t>Average Secondary Customers</t>
  </si>
  <si>
    <t>FPL304</t>
  </si>
  <si>
    <t>WA_MTR_FULL</t>
  </si>
  <si>
    <t>Total Meter Costs</t>
  </si>
  <si>
    <t>RS_MTR_MSOH</t>
  </si>
  <si>
    <t>WA_MTR_MSOH</t>
  </si>
  <si>
    <t>Customer Weight</t>
  </si>
  <si>
    <t>SL1 Weight</t>
  </si>
  <si>
    <t>SL2 Weight</t>
  </si>
  <si>
    <t>OL1 Weight</t>
  </si>
  <si>
    <t>Customer Weight Including Lighting</t>
  </si>
  <si>
    <t>Average Customers</t>
  </si>
  <si>
    <t>FPL309</t>
  </si>
  <si>
    <t>Average Retail Distribution Customers</t>
  </si>
  <si>
    <t>FPL325</t>
  </si>
  <si>
    <t>AVG_METERS</t>
  </si>
  <si>
    <t>FPL355</t>
  </si>
  <si>
    <t>Weighted Average Customers - Material Cost Only</t>
  </si>
  <si>
    <t>FPL356</t>
  </si>
  <si>
    <t>EXCLUDE</t>
  </si>
  <si>
    <t>FPL504</t>
  </si>
  <si>
    <t>100% Retail</t>
  </si>
  <si>
    <t>FPL505</t>
  </si>
  <si>
    <t>FERC_ONLY</t>
  </si>
  <si>
    <t>100% Resale</t>
  </si>
  <si>
    <t>FPL506</t>
  </si>
  <si>
    <t>Capacity Clause</t>
  </si>
  <si>
    <t>FPL507</t>
  </si>
  <si>
    <t>Conservation Clause</t>
  </si>
  <si>
    <t>FPL508</t>
  </si>
  <si>
    <t>FIXTURES</t>
  </si>
  <si>
    <t>Street Lights and Traffic Signals</t>
  </si>
  <si>
    <t>FPL509</t>
  </si>
  <si>
    <t>Outdoor Lighting</t>
  </si>
  <si>
    <t>FPL511</t>
  </si>
  <si>
    <t>Fuel Clause</t>
  </si>
  <si>
    <t>RS(T)-1</t>
  </si>
  <si>
    <t>GSD(T)-1</t>
  </si>
  <si>
    <t>GS(T)-1</t>
  </si>
  <si>
    <t>GSLD(T)-1</t>
  </si>
  <si>
    <t>Total Retail</t>
  </si>
  <si>
    <t>GSLD(T)-2</t>
  </si>
  <si>
    <t>GSLD(T)-3</t>
  </si>
  <si>
    <t>Totals may not add due to rounding.</t>
  </si>
  <si>
    <t>Notes:</t>
  </si>
  <si>
    <t>This schedule was prepared using data provided in MFR E-10.</t>
  </si>
  <si>
    <t>12 CP</t>
  </si>
  <si>
    <t xml:space="preserve"> @ Meter</t>
  </si>
  <si>
    <t>Loss Factor</t>
  </si>
  <si>
    <t>Tr</t>
  </si>
  <si>
    <t>Sec</t>
  </si>
  <si>
    <t>Pri</t>
  </si>
  <si>
    <t>Percent</t>
  </si>
  <si>
    <t>Contrib</t>
  </si>
  <si>
    <t>12CP &amp; 1/13th</t>
  </si>
  <si>
    <t>(Note 1)</t>
  </si>
  <si>
    <t>(1)  12 CP &amp; 1/13th = (12CP percent contribution X 12/13)  +  (MWH sales percent contribution X 1/13)</t>
  </si>
  <si>
    <r>
      <t xml:space="preserve">Purpose: </t>
    </r>
    <r>
      <rPr>
        <sz val="10"/>
        <rFont val="Arial"/>
        <family val="2"/>
      </rPr>
      <t xml:space="preserve"> Used to allocate production plant and related cost to rate classes.</t>
    </r>
  </si>
  <si>
    <r>
      <t>Explanation:</t>
    </r>
    <r>
      <rPr>
        <sz val="10"/>
        <rFont val="Arial"/>
        <family val="2"/>
      </rPr>
      <t xml:space="preserve">  12/13th of the rate class contribution to the retail average 12 monthly Coincident Peak (12CP) demands adjusted for losses, </t>
    </r>
  </si>
  <si>
    <t>and 1/13th of the rate class contribution to the retail total MWH sales adjusted for losses.</t>
  </si>
  <si>
    <t xml:space="preserve"> @ Gen</t>
  </si>
  <si>
    <t>Tr = Transmission  /  Pri = Primary  /  Sec = Secondary  /  @ Gen = At Genaration</t>
  </si>
  <si>
    <t>Voltage Level Factor</t>
  </si>
  <si>
    <r>
      <t>Explanation:</t>
    </r>
    <r>
      <rPr>
        <sz val="10"/>
        <rFont val="Arial"/>
        <family val="2"/>
      </rPr>
      <t xml:space="preserve">  75% of the rate class contribution to the retail average 12 monthly Coincident Peak (12CP) demands adjusted for losses, </t>
    </r>
  </si>
  <si>
    <t>and 25% of the rate class contribution to the retail total MWH sales adjusted for losses.</t>
  </si>
  <si>
    <t>(1)  12 CP &amp; 25% AD = (12CP percent contribution X 75%)  +  (MWH sales percent contribution X 25%)</t>
  </si>
  <si>
    <t>12CP &amp; 25%</t>
  </si>
  <si>
    <t>Analysis of Alternate Methodologies</t>
  </si>
  <si>
    <t>for Production Plant Allocation Factors</t>
  </si>
  <si>
    <t>(1)</t>
  </si>
  <si>
    <t>(2)</t>
  </si>
  <si>
    <t>(3)</t>
  </si>
  <si>
    <t>(4)</t>
  </si>
  <si>
    <t>(6)</t>
  </si>
  <si>
    <t>(7)</t>
  </si>
  <si>
    <t>Average</t>
  </si>
  <si>
    <t>Rate</t>
  </si>
  <si>
    <t>&amp; Excess</t>
  </si>
  <si>
    <t>Class</t>
  </si>
  <si>
    <t>Factors</t>
  </si>
  <si>
    <t>▲ in Factors</t>
  </si>
  <si>
    <t>GNCP</t>
  </si>
  <si>
    <t>Average &amp; Excess  Methodology</t>
  </si>
  <si>
    <t>Demand</t>
  </si>
  <si>
    <t>Average Demand</t>
  </si>
  <si>
    <t>Excess Demand</t>
  </si>
  <si>
    <t>Demand (KW)</t>
  </si>
  <si>
    <t>(1)  A&amp;E = (AD x LF) + (ED x (1-LF)) where,</t>
  </si>
  <si>
    <t>AD = Average Demand</t>
  </si>
  <si>
    <t>LF = Annual System Load Factor</t>
  </si>
  <si>
    <t>ED = Excess Demand</t>
  </si>
  <si>
    <r>
      <t>Explanation:</t>
    </r>
    <r>
      <rPr>
        <sz val="10"/>
        <rFont val="Arial"/>
        <family val="2"/>
      </rPr>
      <t xml:space="preserve">  Average Demand times Annual System Load Factor plus Excess Demand times 1 minus Annual System Load Factor </t>
    </r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</si>
  <si>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</si>
  <si>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</si>
  <si>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</si>
  <si>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</si>
  <si>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</si>
  <si>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</si>
  <si>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</si>
  <si>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</si>
  <si>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</si>
  <si>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</si>
  <si>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</si>
  <si>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</si>
  <si>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NEL</t>
  </si>
  <si>
    <t>Total NEL</t>
  </si>
  <si>
    <t>System Peak</t>
  </si>
  <si>
    <t>System Load Factor (1)</t>
  </si>
  <si>
    <t>System Average Demand</t>
  </si>
  <si>
    <t>2017 COST OF SERVICE STUDY</t>
  </si>
  <si>
    <t>KWH Sales</t>
  </si>
  <si>
    <t>Total</t>
  </si>
  <si>
    <t>BLOUNTSTOWN</t>
  </si>
  <si>
    <t>FKEC</t>
  </si>
  <si>
    <t>HOMESTEAD</t>
  </si>
  <si>
    <t>NEW SMRYNA BEACH</t>
  </si>
  <si>
    <t>QUINCY</t>
  </si>
  <si>
    <t>WAUCHULA</t>
  </si>
  <si>
    <t>WINTER PARK</t>
  </si>
  <si>
    <t>Note:</t>
  </si>
  <si>
    <t>See file RM 1-11-2016_Inputs for Rates &amp; COS Jan2016 Update Forecast TU no-links.xlsx</t>
  </si>
  <si>
    <t>Max System Peak</t>
  </si>
  <si>
    <t>12CP-1/13th</t>
  </si>
  <si>
    <t>12CP-25%</t>
  </si>
  <si>
    <t>vs 12CP-25%</t>
  </si>
  <si>
    <t>For the Test Year 2017</t>
  </si>
  <si>
    <t>12 CP &amp; 1/13th  Methodology</t>
  </si>
  <si>
    <t>12 CP &amp; 25% Methodology</t>
  </si>
  <si>
    <t>This schedule was prepared using data provided by Rosemary Morley.</t>
  </si>
  <si>
    <r>
      <t>Explanation:</t>
    </r>
    <r>
      <rPr>
        <sz val="10"/>
        <rFont val="Arial"/>
        <family val="2"/>
      </rPr>
      <t xml:space="preserve">  100% of the rate class contribution to the retail average 4 monthly Coincident Peak (4CP) demands adjusted for losses.</t>
    </r>
  </si>
  <si>
    <t>2017 - TEST YEAR</t>
  </si>
  <si>
    <t>INDEX</t>
  </si>
  <si>
    <t>TARIFF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</si>
  <si>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</si>
  <si>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</si>
  <si>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</si>
  <si>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</si>
  <si>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</si>
  <si>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</si>
  <si>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</si>
  <si>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</si>
  <si>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</si>
  <si>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</si>
  <si>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</si>
  <si>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</si>
  <si>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</si>
  <si>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RETAIL:</t>
  </si>
  <si>
    <t>Commercial/Industrial Load Control - Distribution</t>
  </si>
  <si>
    <t>Commercial/Industrial Load Control - General</t>
  </si>
  <si>
    <t>Commercial/Industrial Load Control - Transmission</t>
  </si>
  <si>
    <t>General Service Non-Demand (0-20k W)</t>
  </si>
  <si>
    <t>General Service Constant Use</t>
  </si>
  <si>
    <t>General Service Demand (21-499 kW)</t>
  </si>
  <si>
    <t>General Service Large Demand (500-1999 kW)</t>
  </si>
  <si>
    <t>General Service Large Demand (2000 kW+)</t>
  </si>
  <si>
    <t>General Service Large Demand - Transmission</t>
  </si>
  <si>
    <t>Metropolitan Transit Service</t>
  </si>
  <si>
    <t>Sports Field Service</t>
  </si>
  <si>
    <t>Residential Service</t>
  </si>
  <si>
    <t>Street Lighting</t>
  </si>
  <si>
    <t>Traffic Signal Service</t>
  </si>
  <si>
    <t>Standby Service - Distribution</t>
  </si>
  <si>
    <t>Standby Service - Transmission</t>
  </si>
  <si>
    <t>TOTAL RETAIL:</t>
  </si>
  <si>
    <t>WHOLESALE:</t>
  </si>
  <si>
    <t>City of Blountstown</t>
  </si>
  <si>
    <t>Florida Keys Electric Cooperative</t>
  </si>
  <si>
    <t>City of Homestead</t>
  </si>
  <si>
    <t>Lee County Electric Cooperative</t>
  </si>
  <si>
    <t>City of New Smryna Beach</t>
  </si>
  <si>
    <t>City of Quincy</t>
  </si>
  <si>
    <t>City of Seminole</t>
  </si>
  <si>
    <t>City of Wauchula</t>
  </si>
  <si>
    <t>City of Winter Park</t>
  </si>
  <si>
    <t>TOTAL WHOLESALE:</t>
  </si>
  <si>
    <t>TOTAL SYSTEM PEAK</t>
  </si>
  <si>
    <t>Peak 1</t>
  </si>
  <si>
    <t>Peak 2</t>
  </si>
  <si>
    <t>Peak 3</t>
  </si>
  <si>
    <t>Peak 4</t>
  </si>
  <si>
    <t>Winter Peak</t>
  </si>
  <si>
    <t>4 CP</t>
  </si>
  <si>
    <t>4 CP+Win</t>
  </si>
  <si>
    <t>4 CP + Winter 1 CP</t>
  </si>
  <si>
    <t>%4CP</t>
  </si>
  <si>
    <t>%4CP+W</t>
  </si>
  <si>
    <t>(8)</t>
  </si>
  <si>
    <t>(9)</t>
  </si>
  <si>
    <t>(10)</t>
  </si>
  <si>
    <t>(11)</t>
  </si>
  <si>
    <t>4 CP +</t>
  </si>
  <si>
    <t>Winter</t>
  </si>
  <si>
    <t>4 CP and 4 CP + Winter  Methodologies</t>
  </si>
  <si>
    <t>(1)  4 CP  = Average of 4 highest CP months</t>
  </si>
  <si>
    <t>check:</t>
  </si>
  <si>
    <t>FG:[GNCP - Forecasted]</t>
  </si>
  <si>
    <t>%GNCP</t>
  </si>
  <si>
    <t>AC:[Projected Sales (KWH)]</t>
  </si>
  <si>
    <t>%SALES</t>
  </si>
  <si>
    <t>KWH SALES</t>
  </si>
  <si>
    <t>%12CP</t>
  </si>
  <si>
    <t>12 COINCIDENT PEAK (12CP) FORECAST - KW AT METER</t>
  </si>
  <si>
    <t>GROUP NON-COINCIDENT PEAK (GNCP) FORECAST - KW AT METER</t>
  </si>
  <si>
    <t>SALES FORECAST BY RATE CLASS</t>
  </si>
  <si>
    <t>1 CP</t>
  </si>
  <si>
    <t>System Load Factor:</t>
  </si>
  <si>
    <t xml:space="preserve">     /</t>
  </si>
  <si>
    <t>System Avg. Demand</t>
  </si>
  <si>
    <t xml:space="preserve">  =</t>
  </si>
  <si>
    <t>System Load Factor</t>
  </si>
  <si>
    <t>1 - System Load Factor</t>
  </si>
  <si>
    <t>1 CP &amp; Average Demand  Methodology</t>
  </si>
  <si>
    <t>&amp; AD</t>
  </si>
  <si>
    <t>12 CP &amp; Average Demand Methodology</t>
  </si>
  <si>
    <t>1CP</t>
  </si>
  <si>
    <t>12CP</t>
  </si>
  <si>
    <t>Demand Related:</t>
  </si>
  <si>
    <t xml:space="preserve">     /  (</t>
  </si>
  <si>
    <t xml:space="preserve">     +</t>
  </si>
  <si>
    <t>)   =</t>
  </si>
  <si>
    <t>Demand Related %</t>
  </si>
  <si>
    <r>
      <t>Explanation:</t>
    </r>
    <r>
      <rPr>
        <sz val="10"/>
        <rFont val="Arial"/>
        <family val="2"/>
      </rPr>
      <t xml:space="preserve">  1 CP and Average Demand Method. The demand-related portion of production plant is calculated by dividing the annual system peak demand by the sum of the annual system peak demand plus the system average demand.</t>
    </r>
  </si>
  <si>
    <r>
      <t>Explanation:</t>
    </r>
    <r>
      <rPr>
        <sz val="10"/>
        <rFont val="Arial"/>
        <family val="2"/>
      </rPr>
      <t xml:space="preserve">  12 CP and Average Demand Method. The demand-related portion of production plant is calculated by dividing the twelve month coincident peak demand by the sum of the twelve month coincident peak demand plus the system average demand.</t>
    </r>
  </si>
  <si>
    <t>CP = Coincident Peak</t>
  </si>
  <si>
    <t>Energy Related %</t>
  </si>
  <si>
    <t xml:space="preserve"> A&amp;E</t>
  </si>
  <si>
    <t xml:space="preserve"> 4 CP</t>
  </si>
  <si>
    <t xml:space="preserve"> 4 CP + Winter</t>
  </si>
  <si>
    <t xml:space="preserve"> 1CP&amp;AD</t>
  </si>
  <si>
    <t xml:space="preserve"> 12CP&amp;AD</t>
  </si>
  <si>
    <t>SFHHA 010351</t>
  </si>
  <si>
    <t>FPL RC-16</t>
  </si>
  <si>
    <t>SFHHA 010352</t>
  </si>
  <si>
    <t>SFHHA 010353</t>
  </si>
  <si>
    <t>SFHHA 010354</t>
  </si>
  <si>
    <t>SFHHA 010355</t>
  </si>
  <si>
    <t>SFHHA 010356</t>
  </si>
  <si>
    <t>SFHHA 010357</t>
  </si>
  <si>
    <t>SFHHA 010358</t>
  </si>
  <si>
    <t>SFHHA 010359</t>
  </si>
  <si>
    <t>SFHHA 010360</t>
  </si>
  <si>
    <t>SFHHA 010361</t>
  </si>
  <si>
    <t>SFHHA 010362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</si>
</sst>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#,##0.0000000"/>
    <numFmt numFmtId="166" formatCode="#,##0.00000000"/>
    <numFmt numFmtId="167" formatCode="#,##0.000000000"/>
    <numFmt numFmtId="168" formatCode="_(* #,##0.000_);_(* \(#,##0.000\);_(* &quot;-&quot;_);_(@_)"/>
    <numFmt numFmtId="169" formatCode="0.0000000"/>
    <numFmt numFmtId="170" formatCode="0.0%"/>
    <numFmt numFmtId="171" formatCode="&quot;$&quot;#,##0.0"/>
    <numFmt numFmtId="172" formatCode="0.000000"/>
  </numFmts>
  <fonts count="39" x14ac:knownFonts="1">
    <font>
      <sz val="8"/>
      <color indexed="72"/>
      <name val="Courier New"/>
    </font>
    <font>
      <sz val="11"/>
      <color theme="1"/>
      <name val="Calibri"/>
      <family val="2"/>
      <scheme val="minor"/>
    </font>
    <font>
      <sz val="8"/>
      <name val="Courier New"/>
      <family val="3"/>
    </font>
    <font>
      <b/>
      <sz val="10"/>
      <color indexed="0"/>
      <name val="Arial"/>
      <family val="2"/>
    </font>
    <font>
      <sz val="10"/>
      <color indexed="72"/>
      <name val="Arial"/>
      <family val="2"/>
    </font>
    <font>
      <sz val="10"/>
      <color indexed="0"/>
      <name val="Arial"/>
      <family val="2"/>
    </font>
    <font>
      <b/>
      <sz val="10"/>
      <name val="Arial"/>
      <family val="2"/>
    </font>
    <font>
      <b/>
      <sz val="12"/>
      <color indexed="0"/>
      <name val="Arial"/>
      <family val="2"/>
    </font>
    <font>
      <sz val="10"/>
      <name val="Arial"/>
      <family val="2"/>
    </font>
    <font>
      <b/>
      <sz val="10"/>
      <color indexed="72"/>
      <name val="Arial"/>
      <family val="2"/>
    </font>
    <font>
      <b/>
      <sz val="14"/>
      <color indexed="8"/>
      <name val="Arial"/>
      <family val="2"/>
    </font>
    <font>
      <sz val="14"/>
      <color indexed="72"/>
      <name val="Arial"/>
      <family val="2"/>
    </font>
    <font>
      <b/>
      <sz val="12"/>
      <name val="Arial"/>
      <family val="2"/>
    </font>
    <font>
      <b/>
      <sz val="16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72"/>
      <name val="Courier New"/>
      <family val="3"/>
    </font>
    <font>
      <b/>
      <sz val="12"/>
      <color indexed="8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theme="1"/>
      <name val="Courier"/>
      <family val="3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u/>
      <sz val="11"/>
      <color theme="1"/>
      <name val="Arial"/>
      <family val="2"/>
    </font>
    <font>
      <sz val="11"/>
      <color rgb="FFFF0000"/>
      <name val="Arial"/>
      <family val="2"/>
    </font>
    <font>
      <sz val="11"/>
      <color indexed="8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u val="singleAccounting"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u val="singleAccounting"/>
      <sz val="14"/>
      <color indexed="8"/>
      <name val="Arial"/>
      <family val="2"/>
    </font>
    <font>
      <sz val="10"/>
      <color indexed="10"/>
      <name val="Arial"/>
      <family val="2"/>
    </font>
    <font>
      <b/>
      <sz val="10"/>
      <color theme="1"/>
      <name val="Courier"/>
      <family val="3"/>
    </font>
  </fonts>
  <fills count="29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9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medium">
        <color indexed="48"/>
      </bottom>
      <diagonal/>
    </border>
  </borders>
  <cellStyleXfs count="130">
    <xf numFmtId="0" fontId="0" fillId="0" borderId="0" applyAlignment="0">
      <alignment vertical="top"/>
      <protection locked="0"/>
    </xf>
    <xf numFmtId="0" fontId="3" fillId="0" borderId="0" xfId="0" applyFont="1" applyAlignment="1" applyProtection="1">
      <alignment horizontal="left" vertical="top"/>
    </xf>
    <xf numFmtId="0" fontId="16" fillId="0" borderId="0" applyAlignment="0">
      <alignment vertical="top"/>
      <protection locked="0"/>
    </xf>
    <xf numFmtId="0" fontId="14" fillId="0" borderId="0"/>
    <xf numFmtId="0" fontId="16" fillId="0" borderId="0" applyAlignment="0">
      <alignment vertical="top"/>
      <protection locked="0"/>
    </xf>
    <xf numFmtId="9" fontId="14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8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31" fillId="14" borderId="31" applyNumberFormat="0" applyProtection="0">
      <alignment vertical="center"/>
    </xf>
    <xf numFmtId="4" fontId="32" fillId="9" borderId="31" applyNumberFormat="0" applyProtection="0">
      <alignment vertical="center"/>
    </xf>
    <xf numFmtId="4" fontId="31" fillId="9" borderId="31" applyNumberFormat="0" applyProtection="0">
      <alignment horizontal="left" vertical="center" indent="1"/>
    </xf>
    <xf numFmtId="0" fontId="31" fillId="9" borderId="31" applyNumberFormat="0" applyProtection="0">
      <alignment horizontal="left" vertical="top" indent="1"/>
    </xf>
    <xf numFmtId="4" fontId="33" fillId="0" borderId="0" applyNumberFormat="0" applyProtection="0">
      <alignment horizontal="left"/>
    </xf>
    <xf numFmtId="4" fontId="34" fillId="15" borderId="31" applyNumberFormat="0" applyProtection="0">
      <alignment horizontal="right" vertical="center"/>
    </xf>
    <xf numFmtId="4" fontId="34" fillId="15" borderId="31" applyNumberFormat="0" applyProtection="0">
      <alignment horizontal="right" vertical="center"/>
    </xf>
    <xf numFmtId="4" fontId="34" fillId="16" borderId="31" applyNumberFormat="0" applyProtection="0">
      <alignment horizontal="right" vertical="center"/>
    </xf>
    <xf numFmtId="4" fontId="34" fillId="16" borderId="31" applyNumberFormat="0" applyProtection="0">
      <alignment horizontal="right" vertical="center"/>
    </xf>
    <xf numFmtId="4" fontId="34" fillId="17" borderId="31" applyNumberFormat="0" applyProtection="0">
      <alignment horizontal="right" vertical="center"/>
    </xf>
    <xf numFmtId="4" fontId="34" fillId="17" borderId="31" applyNumberFormat="0" applyProtection="0">
      <alignment horizontal="right" vertical="center"/>
    </xf>
    <xf numFmtId="4" fontId="34" fillId="18" borderId="31" applyNumberFormat="0" applyProtection="0">
      <alignment horizontal="right" vertical="center"/>
    </xf>
    <xf numFmtId="4" fontId="34" fillId="18" borderId="31" applyNumberFormat="0" applyProtection="0">
      <alignment horizontal="right" vertical="center"/>
    </xf>
    <xf numFmtId="4" fontId="34" fillId="19" borderId="31" applyNumberFormat="0" applyProtection="0">
      <alignment horizontal="right" vertical="center"/>
    </xf>
    <xf numFmtId="4" fontId="34" fillId="19" borderId="31" applyNumberFormat="0" applyProtection="0">
      <alignment horizontal="right" vertical="center"/>
    </xf>
    <xf numFmtId="4" fontId="34" fillId="20" borderId="31" applyNumberFormat="0" applyProtection="0">
      <alignment horizontal="right" vertical="center"/>
    </xf>
    <xf numFmtId="4" fontId="34" fillId="20" borderId="31" applyNumberFormat="0" applyProtection="0">
      <alignment horizontal="right" vertical="center"/>
    </xf>
    <xf numFmtId="4" fontId="34" fillId="21" borderId="31" applyNumberFormat="0" applyProtection="0">
      <alignment horizontal="right" vertical="center"/>
    </xf>
    <xf numFmtId="4" fontId="34" fillId="21" borderId="31" applyNumberFormat="0" applyProtection="0">
      <alignment horizontal="right" vertical="center"/>
    </xf>
    <xf numFmtId="4" fontId="34" fillId="22" borderId="31" applyNumberFormat="0" applyProtection="0">
      <alignment horizontal="right" vertical="center"/>
    </xf>
    <xf numFmtId="4" fontId="34" fillId="22" borderId="31" applyNumberFormat="0" applyProtection="0">
      <alignment horizontal="right" vertical="center"/>
    </xf>
    <xf numFmtId="4" fontId="34" fillId="23" borderId="31" applyNumberFormat="0" applyProtection="0">
      <alignment horizontal="right" vertical="center"/>
    </xf>
    <xf numFmtId="4" fontId="34" fillId="23" borderId="31" applyNumberFormat="0" applyProtection="0">
      <alignment horizontal="right" vertical="center"/>
    </xf>
    <xf numFmtId="4" fontId="31" fillId="24" borderId="32" applyNumberFormat="0" applyProtection="0">
      <alignment horizontal="left" vertical="center" indent="1"/>
    </xf>
    <xf numFmtId="4" fontId="31" fillId="0" borderId="0" applyNumberFormat="0" applyProtection="0">
      <alignment horizontal="left" vertical="center" indent="1"/>
    </xf>
    <xf numFmtId="4" fontId="31" fillId="0" borderId="0" applyNumberFormat="0" applyProtection="0">
      <alignment horizontal="left" vertical="center" indent="1"/>
    </xf>
    <xf numFmtId="4" fontId="34" fillId="0" borderId="0" applyNumberFormat="0" applyProtection="0">
      <alignment horizontal="left" vertical="center" indent="1"/>
    </xf>
    <xf numFmtId="4" fontId="34" fillId="0" borderId="0" applyNumberFormat="0" applyProtection="0">
      <alignment horizontal="left" vertical="center" indent="1"/>
    </xf>
    <xf numFmtId="4" fontId="17" fillId="25" borderId="0" applyNumberFormat="0" applyProtection="0">
      <alignment horizontal="left" vertical="center" indent="1"/>
    </xf>
    <xf numFmtId="4" fontId="34" fillId="26" borderId="31" applyNumberFormat="0" applyProtection="0">
      <alignment horizontal="right" vertical="center"/>
    </xf>
    <xf numFmtId="4" fontId="34" fillId="26" borderId="31" applyNumberFormat="0" applyProtection="0">
      <alignment horizontal="right" vertical="center"/>
    </xf>
    <xf numFmtId="4" fontId="34" fillId="0" borderId="0" applyNumberFormat="0" applyProtection="0">
      <alignment horizontal="left" vertical="center" indent="1"/>
    </xf>
    <xf numFmtId="4" fontId="34" fillId="0" borderId="0" applyNumberFormat="0" applyProtection="0">
      <alignment horizontal="left" vertical="center" indent="1"/>
    </xf>
    <xf numFmtId="4" fontId="34" fillId="0" borderId="0" applyNumberFormat="0" applyProtection="0">
      <alignment horizontal="left" vertical="center" indent="1"/>
    </xf>
    <xf numFmtId="4" fontId="34" fillId="0" borderId="0" applyNumberFormat="0" applyProtection="0">
      <alignment horizontal="left" vertical="center" indent="1"/>
    </xf>
    <xf numFmtId="4" fontId="34" fillId="0" borderId="0" applyNumberFormat="0" applyProtection="0">
      <alignment horizontal="left" vertical="center" indent="1"/>
    </xf>
    <xf numFmtId="4" fontId="34" fillId="0" borderId="0" applyNumberFormat="0" applyProtection="0">
      <alignment horizontal="left" vertical="center" indent="1"/>
    </xf>
    <xf numFmtId="4" fontId="34" fillId="0" borderId="0" applyNumberFormat="0" applyProtection="0">
      <alignment horizontal="left" vertical="center" indent="1"/>
    </xf>
    <xf numFmtId="4" fontId="34" fillId="0" borderId="0" applyNumberFormat="0" applyProtection="0">
      <alignment horizontal="left" vertical="center" indent="1"/>
    </xf>
    <xf numFmtId="4" fontId="34" fillId="27" borderId="0" applyNumberFormat="0" applyProtection="0">
      <alignment horizontal="left" vertical="center" indent="1"/>
    </xf>
    <xf numFmtId="4" fontId="34" fillId="27" borderId="0" applyNumberFormat="0" applyProtection="0">
      <alignment horizontal="left" vertical="center" indent="1"/>
    </xf>
    <xf numFmtId="4" fontId="34" fillId="27" borderId="0" applyNumberFormat="0" applyProtection="0">
      <alignment horizontal="left" vertical="center" indent="1"/>
    </xf>
    <xf numFmtId="4" fontId="34" fillId="27" borderId="0" applyNumberFormat="0" applyProtection="0">
      <alignment horizontal="left" vertical="center" indent="1"/>
    </xf>
    <xf numFmtId="4" fontId="34" fillId="27" borderId="0" applyNumberFormat="0" applyProtection="0">
      <alignment horizontal="left" vertical="center" indent="1"/>
    </xf>
    <xf numFmtId="4" fontId="34" fillId="27" borderId="0" applyNumberFormat="0" applyProtection="0">
      <alignment horizontal="left" vertical="center" indent="1"/>
    </xf>
    <xf numFmtId="4" fontId="34" fillId="27" borderId="0" applyNumberFormat="0" applyProtection="0">
      <alignment horizontal="left" vertical="center" indent="1"/>
    </xf>
    <xf numFmtId="4" fontId="34" fillId="27" borderId="0" applyNumberFormat="0" applyProtection="0">
      <alignment horizontal="left" vertical="center" indent="1"/>
    </xf>
    <xf numFmtId="0" fontId="6" fillId="25" borderId="31" applyNumberFormat="0" applyProtection="0">
      <alignment horizontal="left" vertical="center" indent="1"/>
    </xf>
    <xf numFmtId="0" fontId="8" fillId="25" borderId="31" applyNumberFormat="0" applyProtection="0">
      <alignment horizontal="left" vertical="top" indent="1"/>
    </xf>
    <xf numFmtId="0" fontId="8" fillId="27" borderId="31" applyNumberFormat="0" applyProtection="0">
      <alignment horizontal="left" vertical="center" indent="1"/>
    </xf>
    <xf numFmtId="0" fontId="21" fillId="0" borderId="0" applyNumberFormat="0" applyProtection="0">
      <alignment horizontal="left" vertical="center" indent="1"/>
    </xf>
    <xf numFmtId="0" fontId="21" fillId="0" borderId="0" applyNumberFormat="0" applyProtection="0">
      <alignment horizontal="left" vertical="center" indent="1"/>
    </xf>
    <xf numFmtId="0" fontId="8" fillId="27" borderId="31" applyNumberFormat="0" applyProtection="0">
      <alignment horizontal="left" vertical="top" indent="1"/>
    </xf>
    <xf numFmtId="0" fontId="8" fillId="8" borderId="31" applyNumberFormat="0" applyProtection="0">
      <alignment horizontal="left" vertical="center" indent="1"/>
    </xf>
    <xf numFmtId="0" fontId="8" fillId="0" borderId="0" applyNumberFormat="0" applyProtection="0">
      <alignment horizontal="left" vertical="center" indent="1"/>
    </xf>
    <xf numFmtId="0" fontId="8" fillId="8" borderId="31" applyNumberFormat="0" applyProtection="0">
      <alignment horizontal="left" vertical="center" indent="1"/>
    </xf>
    <xf numFmtId="0" fontId="8" fillId="0" borderId="0" applyNumberFormat="0" applyProtection="0">
      <alignment horizontal="left" vertical="center" indent="1"/>
    </xf>
    <xf numFmtId="0" fontId="8" fillId="8" borderId="31" applyNumberFormat="0" applyProtection="0">
      <alignment horizontal="left" vertical="top" indent="1"/>
    </xf>
    <xf numFmtId="0" fontId="8" fillId="7" borderId="31" applyNumberFormat="0" applyProtection="0">
      <alignment horizontal="left" vertical="center" indent="1"/>
    </xf>
    <xf numFmtId="0" fontId="8" fillId="7" borderId="31" applyNumberFormat="0" applyProtection="0">
      <alignment horizontal="left" vertical="top" indent="1"/>
    </xf>
    <xf numFmtId="0" fontId="8" fillId="0" borderId="0"/>
    <xf numFmtId="4" fontId="34" fillId="28" borderId="31" applyNumberFormat="0" applyProtection="0">
      <alignment vertical="center"/>
    </xf>
    <xf numFmtId="4" fontId="34" fillId="28" borderId="31" applyNumberFormat="0" applyProtection="0">
      <alignment vertical="center"/>
    </xf>
    <xf numFmtId="4" fontId="35" fillId="28" borderId="31" applyNumberFormat="0" applyProtection="0">
      <alignment vertical="center"/>
    </xf>
    <xf numFmtId="4" fontId="34" fillId="28" borderId="31" applyNumberFormat="0" applyProtection="0">
      <alignment horizontal="left" vertical="center" indent="1"/>
    </xf>
    <xf numFmtId="4" fontId="34" fillId="28" borderId="31" applyNumberFormat="0" applyProtection="0">
      <alignment horizontal="left" vertical="center" indent="1"/>
    </xf>
    <xf numFmtId="0" fontId="34" fillId="28" borderId="31" applyNumberFormat="0" applyProtection="0">
      <alignment horizontal="left" vertical="top" indent="1"/>
    </xf>
    <xf numFmtId="0" fontId="34" fillId="28" borderId="31" applyNumberFormat="0" applyProtection="0">
      <alignment horizontal="left" vertical="top" indent="1"/>
    </xf>
    <xf numFmtId="4" fontId="34" fillId="0" borderId="0" applyNumberFormat="0" applyProtection="0">
      <alignment horizontal="right"/>
    </xf>
    <xf numFmtId="4" fontId="34" fillId="0" borderId="0" applyNumberFormat="0" applyProtection="0">
      <alignment horizontal="right" vertical="justify"/>
    </xf>
    <xf numFmtId="4" fontId="34" fillId="0" borderId="0" applyNumberFormat="0" applyProtection="0">
      <alignment horizontal="right"/>
    </xf>
    <xf numFmtId="4" fontId="34" fillId="0" borderId="0" applyNumberFormat="0" applyProtection="0">
      <alignment horizontal="right" vertical="justify"/>
    </xf>
    <xf numFmtId="4" fontId="31" fillId="0" borderId="33" applyNumberFormat="0" applyProtection="0">
      <alignment horizontal="right" vertical="center"/>
    </xf>
    <xf numFmtId="4" fontId="31" fillId="0" borderId="0" applyNumberFormat="0" applyProtection="0">
      <alignment horizontal="left" vertical="center" wrapText="1" indent="1"/>
    </xf>
    <xf numFmtId="0" fontId="33" fillId="0" borderId="0" applyNumberFormat="0" applyProtection="0">
      <alignment horizontal="center" wrapText="1"/>
    </xf>
    <xf numFmtId="4" fontId="36" fillId="0" borderId="0" applyNumberFormat="0" applyProtection="0">
      <alignment horizontal="left"/>
    </xf>
    <xf numFmtId="4" fontId="37" fillId="0" borderId="0" applyNumberFormat="0" applyProtection="0">
      <alignment horizontal="right"/>
    </xf>
    <xf numFmtId="4" fontId="37" fillId="0" borderId="0" applyNumberFormat="0" applyProtection="0">
      <alignment horizontal="right"/>
    </xf>
    <xf numFmtId="172" fontId="8" fillId="0" borderId="0">
      <alignment horizontal="left" wrapText="1"/>
    </xf>
    <xf numFmtId="9" fontId="16" fillId="0" borderId="0" applyFont="0" applyFill="0" applyBorder="0" applyAlignment="0" applyProtection="0"/>
  </cellStyleXfs>
  <cellXfs count="250">
    <xf numFmtId="0" fontId="0" fillId="0" borderId="0" xfId="0" applyAlignment="1" applyProtection="1"/>
    <xf numFmtId="0" fontId="3" fillId="0" borderId="0" xfId="0" applyFont="1" applyAlignment="1" applyProtection="1">
      <alignment horizontal="left" vertical="top"/>
    </xf>
    <xf numFmtId="0" fontId="4" fillId="0" borderId="0" xfId="0" applyFont="1" applyAlignment="1" applyProtection="1">
      <alignment horizontal="left" vertical="top"/>
    </xf>
    <xf numFmtId="164" fontId="4" fillId="0" borderId="0" xfId="0" applyNumberFormat="1" applyFont="1" applyAlignment="1" applyProtection="1">
      <alignment horizontal="right" vertical="top"/>
    </xf>
    <xf numFmtId="0" fontId="4" fillId="0" borderId="0" xfId="1" applyFont="1" applyAlignment="1" applyProtection="1">
      <alignment horizontal="left" vertical="top"/>
    </xf>
    <xf numFmtId="0" fontId="3" fillId="0" borderId="1" xfId="0" applyFont="1" applyBorder="1" applyAlignment="1" applyProtection="1">
      <alignment horizontal="left" vertical="top"/>
    </xf>
    <xf numFmtId="0" fontId="3" fillId="0" borderId="1" xfId="0" applyFont="1" applyBorder="1" applyAlignment="1" applyProtection="1">
      <alignment horizontal="center" vertical="top"/>
    </xf>
    <xf numFmtId="0" fontId="5" fillId="0" borderId="0" xfId="0" applyFont="1" applyAlignment="1" applyProtection="1">
      <alignment horizontal="left" vertical="top"/>
    </xf>
    <xf numFmtId="164" fontId="5" fillId="0" borderId="0" xfId="0" applyNumberFormat="1" applyFont="1" applyAlignment="1" applyProtection="1">
      <alignment horizontal="right" vertical="top"/>
    </xf>
    <xf numFmtId="167" fontId="4" fillId="0" borderId="0" xfId="0" applyNumberFormat="1" applyFont="1" applyAlignment="1" applyProtection="1">
      <alignment horizontal="right" vertical="top"/>
    </xf>
    <xf numFmtId="3" fontId="4" fillId="0" borderId="0" xfId="0" applyNumberFormat="1" applyFont="1" applyAlignment="1" applyProtection="1">
      <alignment horizontal="right" vertical="top"/>
    </xf>
    <xf numFmtId="0" fontId="7" fillId="0" borderId="0" xfId="0" applyFont="1" applyAlignment="1" applyProtection="1">
      <alignment horizontal="left" vertical="top"/>
    </xf>
    <xf numFmtId="0" fontId="9" fillId="0" borderId="0" xfId="0" applyFont="1" applyAlignment="1" applyProtection="1">
      <alignment horizontal="center" vertical="top"/>
    </xf>
    <xf numFmtId="3" fontId="4" fillId="0" borderId="2" xfId="0" applyNumberFormat="1" applyFont="1" applyBorder="1" applyAlignment="1" applyProtection="1">
      <alignment horizontal="right" vertical="top"/>
    </xf>
    <xf numFmtId="168" fontId="4" fillId="0" borderId="0" xfId="0" applyNumberFormat="1" applyFont="1" applyAlignment="1" applyProtection="1">
      <alignment horizontal="right" vertical="top"/>
    </xf>
    <xf numFmtId="3" fontId="4" fillId="0" borderId="0" xfId="0" applyNumberFormat="1" applyFont="1" applyAlignment="1" applyProtection="1">
      <alignment horizontal="left" vertical="top"/>
    </xf>
    <xf numFmtId="0" fontId="6" fillId="0" borderId="0" xfId="0" applyFont="1" applyAlignment="1" applyProtection="1">
      <alignment horizontal="left" vertical="top"/>
    </xf>
    <xf numFmtId="0" fontId="11" fillId="0" borderId="0" xfId="0" applyFont="1" applyAlignment="1" applyProtection="1">
      <alignment horizontal="left" vertical="top"/>
    </xf>
    <xf numFmtId="0" fontId="8" fillId="0" borderId="0" xfId="0" applyFont="1" applyAlignment="1" applyProtection="1">
      <alignment horizontal="left" vertical="top" indent="1"/>
    </xf>
    <xf numFmtId="0" fontId="4" fillId="0" borderId="0" xfId="0" applyFont="1" applyAlignment="1" applyProtection="1">
      <alignment horizontal="left" vertical="top" indent="1"/>
    </xf>
    <xf numFmtId="0" fontId="3" fillId="2" borderId="0" xfId="0" applyFont="1" applyFill="1" applyAlignment="1" applyProtection="1">
      <alignment horizontal="left" vertical="top"/>
    </xf>
    <xf numFmtId="0" fontId="5" fillId="2" borderId="0" xfId="0" applyFont="1" applyFill="1" applyAlignment="1" applyProtection="1">
      <alignment horizontal="left" vertical="top"/>
    </xf>
    <xf numFmtId="164" fontId="5" fillId="2" borderId="0" xfId="0" applyNumberFormat="1" applyFont="1" applyFill="1" applyAlignment="1" applyProtection="1">
      <alignment horizontal="right" vertical="top"/>
    </xf>
    <xf numFmtId="0" fontId="4" fillId="2" borderId="0" xfId="1" applyFont="1" applyFill="1" applyAlignment="1" applyProtection="1">
      <alignment horizontal="left" vertical="top"/>
    </xf>
    <xf numFmtId="0" fontId="4" fillId="2" borderId="0" xfId="0" applyFont="1" applyFill="1" applyAlignment="1" applyProtection="1">
      <alignment horizontal="left" vertical="top"/>
    </xf>
    <xf numFmtId="0" fontId="3" fillId="3" borderId="0" xfId="0" applyFont="1" applyFill="1" applyAlignment="1" applyProtection="1">
      <alignment horizontal="left" vertical="top"/>
    </xf>
    <xf numFmtId="0" fontId="5" fillId="3" borderId="0" xfId="0" applyFont="1" applyFill="1" applyAlignment="1" applyProtection="1">
      <alignment horizontal="left" vertical="top"/>
    </xf>
    <xf numFmtId="164" fontId="5" fillId="3" borderId="0" xfId="0" applyNumberFormat="1" applyFont="1" applyFill="1" applyAlignment="1" applyProtection="1">
      <alignment horizontal="right" vertical="top"/>
    </xf>
    <xf numFmtId="0" fontId="4" fillId="3" borderId="0" xfId="1" applyFont="1" applyFill="1" applyAlignment="1" applyProtection="1">
      <alignment horizontal="left" vertical="top"/>
    </xf>
    <xf numFmtId="0" fontId="4" fillId="3" borderId="0" xfId="0" applyFont="1" applyFill="1" applyAlignment="1" applyProtection="1">
      <alignment horizontal="left" vertical="top"/>
    </xf>
    <xf numFmtId="0" fontId="3" fillId="4" borderId="1" xfId="0" applyFont="1" applyFill="1" applyBorder="1" applyAlignment="1" applyProtection="1">
      <alignment horizontal="center" vertical="top"/>
    </xf>
    <xf numFmtId="0" fontId="3" fillId="5" borderId="1" xfId="0" applyFont="1" applyFill="1" applyBorder="1" applyAlignment="1" applyProtection="1">
      <alignment horizontal="center" vertical="top"/>
    </xf>
    <xf numFmtId="0" fontId="4" fillId="0" borderId="0" xfId="0" applyFont="1" applyFill="1" applyAlignment="1" applyProtection="1">
      <alignment horizontal="left" vertical="top"/>
    </xf>
    <xf numFmtId="0" fontId="3" fillId="4" borderId="0" xfId="0" applyFont="1" applyFill="1" applyAlignment="1" applyProtection="1">
      <alignment horizontal="left" vertical="top"/>
    </xf>
    <xf numFmtId="0" fontId="5" fillId="4" borderId="0" xfId="0" applyFont="1" applyFill="1" applyAlignment="1" applyProtection="1">
      <alignment horizontal="left" vertical="top"/>
    </xf>
    <xf numFmtId="164" fontId="5" fillId="4" borderId="0" xfId="0" applyNumberFormat="1" applyFont="1" applyFill="1" applyAlignment="1" applyProtection="1">
      <alignment horizontal="right" vertical="top"/>
    </xf>
    <xf numFmtId="0" fontId="4" fillId="4" borderId="0" xfId="1" applyFont="1" applyFill="1" applyAlignment="1" applyProtection="1">
      <alignment horizontal="left" vertical="top"/>
    </xf>
    <xf numFmtId="0" fontId="4" fillId="4" borderId="0" xfId="0" applyFont="1" applyFill="1" applyAlignment="1" applyProtection="1">
      <alignment horizontal="left" vertical="top"/>
    </xf>
    <xf numFmtId="0" fontId="3" fillId="6" borderId="0" xfId="0" applyFont="1" applyFill="1" applyAlignment="1" applyProtection="1">
      <alignment horizontal="left" vertical="top"/>
    </xf>
    <xf numFmtId="0" fontId="5" fillId="6" borderId="0" xfId="0" applyFont="1" applyFill="1" applyAlignment="1" applyProtection="1">
      <alignment horizontal="left" vertical="top"/>
    </xf>
    <xf numFmtId="164" fontId="5" fillId="6" borderId="0" xfId="0" applyNumberFormat="1" applyFont="1" applyFill="1" applyAlignment="1" applyProtection="1">
      <alignment horizontal="right" vertical="top"/>
    </xf>
    <xf numFmtId="0" fontId="4" fillId="6" borderId="0" xfId="1" applyFont="1" applyFill="1" applyAlignment="1" applyProtection="1">
      <alignment horizontal="left" vertical="top"/>
    </xf>
    <xf numFmtId="0" fontId="4" fillId="6" borderId="0" xfId="0" applyFont="1" applyFill="1" applyAlignment="1" applyProtection="1">
      <alignment horizontal="left" vertical="top"/>
    </xf>
    <xf numFmtId="0" fontId="3" fillId="7" borderId="0" xfId="0" applyFont="1" applyFill="1" applyAlignment="1" applyProtection="1">
      <alignment horizontal="left" vertical="top"/>
    </xf>
    <xf numFmtId="0" fontId="5" fillId="7" borderId="0" xfId="0" applyFont="1" applyFill="1" applyAlignment="1" applyProtection="1">
      <alignment horizontal="left" vertical="top"/>
    </xf>
    <xf numFmtId="164" fontId="5" fillId="7" borderId="0" xfId="0" applyNumberFormat="1" applyFont="1" applyFill="1" applyAlignment="1" applyProtection="1">
      <alignment horizontal="right" vertical="top"/>
    </xf>
    <xf numFmtId="0" fontId="4" fillId="7" borderId="0" xfId="1" applyFont="1" applyFill="1" applyAlignment="1" applyProtection="1">
      <alignment horizontal="left" vertical="top"/>
    </xf>
    <xf numFmtId="0" fontId="4" fillId="7" borderId="0" xfId="0" applyFont="1" applyFill="1" applyAlignment="1" applyProtection="1">
      <alignment horizontal="left" vertical="top"/>
    </xf>
    <xf numFmtId="0" fontId="6" fillId="8" borderId="0" xfId="0" applyFont="1" applyFill="1" applyAlignment="1" applyProtection="1">
      <alignment horizontal="left" vertical="top"/>
    </xf>
    <xf numFmtId="0" fontId="8" fillId="8" borderId="0" xfId="0" applyFont="1" applyFill="1" applyAlignment="1" applyProtection="1">
      <alignment horizontal="left" vertical="top"/>
    </xf>
    <xf numFmtId="164" fontId="8" fillId="8" borderId="0" xfId="0" applyNumberFormat="1" applyFont="1" applyFill="1" applyAlignment="1" applyProtection="1">
      <alignment horizontal="right" vertical="top"/>
    </xf>
    <xf numFmtId="0" fontId="8" fillId="8" borderId="0" xfId="1" applyFont="1" applyFill="1" applyAlignment="1" applyProtection="1">
      <alignment horizontal="left" vertical="top"/>
    </xf>
    <xf numFmtId="165" fontId="4" fillId="0" borderId="0" xfId="0" applyNumberFormat="1" applyFont="1" applyAlignment="1" applyProtection="1">
      <alignment horizontal="right" vertical="top"/>
    </xf>
    <xf numFmtId="166" fontId="4" fillId="0" borderId="0" xfId="0" applyNumberFormat="1" applyFont="1" applyAlignment="1" applyProtection="1">
      <alignment horizontal="right" vertical="top"/>
    </xf>
    <xf numFmtId="0" fontId="3" fillId="9" borderId="0" xfId="0" applyFont="1" applyFill="1" applyAlignment="1" applyProtection="1">
      <alignment horizontal="left" vertical="top"/>
    </xf>
    <xf numFmtId="0" fontId="5" fillId="9" borderId="0" xfId="0" applyFont="1" applyFill="1" applyAlignment="1" applyProtection="1">
      <alignment horizontal="left" vertical="top"/>
    </xf>
    <xf numFmtId="164" fontId="5" fillId="9" borderId="0" xfId="0" applyNumberFormat="1" applyFont="1" applyFill="1" applyAlignment="1" applyProtection="1">
      <alignment horizontal="right" vertical="top"/>
    </xf>
    <xf numFmtId="0" fontId="4" fillId="9" borderId="0" xfId="1" applyFont="1" applyFill="1" applyAlignment="1" applyProtection="1">
      <alignment horizontal="left" vertical="top"/>
    </xf>
    <xf numFmtId="0" fontId="4" fillId="9" borderId="0" xfId="0" applyFont="1" applyFill="1" applyAlignment="1" applyProtection="1">
      <alignment horizontal="left" vertical="top"/>
    </xf>
    <xf numFmtId="166" fontId="5" fillId="0" borderId="0" xfId="0" applyNumberFormat="1" applyFont="1" applyAlignment="1" applyProtection="1">
      <alignment horizontal="right" vertical="top"/>
    </xf>
    <xf numFmtId="167" fontId="5" fillId="0" borderId="0" xfId="0" applyNumberFormat="1" applyFont="1" applyAlignment="1" applyProtection="1">
      <alignment horizontal="right" vertical="top"/>
    </xf>
    <xf numFmtId="0" fontId="3" fillId="10" borderId="0" xfId="0" applyFont="1" applyFill="1" applyAlignment="1" applyProtection="1">
      <alignment horizontal="left" vertical="top"/>
    </xf>
    <xf numFmtId="0" fontId="5" fillId="10" borderId="0" xfId="0" applyFont="1" applyFill="1" applyAlignment="1" applyProtection="1">
      <alignment horizontal="left" vertical="top"/>
    </xf>
    <xf numFmtId="164" fontId="5" fillId="10" borderId="0" xfId="0" applyNumberFormat="1" applyFont="1" applyFill="1" applyAlignment="1" applyProtection="1">
      <alignment horizontal="right" vertical="top"/>
    </xf>
    <xf numFmtId="0" fontId="4" fillId="10" borderId="0" xfId="1" applyFont="1" applyFill="1" applyAlignment="1" applyProtection="1">
      <alignment horizontal="left" vertical="top"/>
    </xf>
    <xf numFmtId="0" fontId="4" fillId="10" borderId="0" xfId="0" applyFont="1" applyFill="1" applyAlignment="1" applyProtection="1">
      <alignment horizontal="left" vertical="top"/>
    </xf>
    <xf numFmtId="165" fontId="5" fillId="0" borderId="0" xfId="0" applyNumberFormat="1" applyFont="1" applyFill="1" applyAlignment="1" applyProtection="1">
      <alignment horizontal="right" vertical="top"/>
    </xf>
    <xf numFmtId="164" fontId="5" fillId="0" borderId="0" xfId="0" applyNumberFormat="1" applyFont="1" applyFill="1" applyAlignment="1" applyProtection="1">
      <alignment horizontal="right" vertical="top"/>
    </xf>
    <xf numFmtId="0" fontId="4" fillId="0" borderId="0" xfId="1" applyFont="1" applyFill="1" applyAlignment="1" applyProtection="1">
      <alignment horizontal="left" vertical="top"/>
    </xf>
    <xf numFmtId="164" fontId="5" fillId="0" borderId="0" xfId="0" applyNumberFormat="1" applyFont="1" applyAlignment="1" applyProtection="1">
      <alignment horizontal="right" vertical="center"/>
    </xf>
    <xf numFmtId="0" fontId="9" fillId="2" borderId="3" xfId="0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</xf>
    <xf numFmtId="0" fontId="9" fillId="9" borderId="5" xfId="0" applyFont="1" applyFill="1" applyBorder="1" applyAlignment="1" applyProtection="1">
      <alignment horizontal="center" vertical="center"/>
    </xf>
    <xf numFmtId="0" fontId="9" fillId="4" borderId="5" xfId="0" applyFont="1" applyFill="1" applyBorder="1" applyAlignment="1" applyProtection="1">
      <alignment horizontal="center" vertical="center"/>
    </xf>
    <xf numFmtId="0" fontId="9" fillId="7" borderId="5" xfId="0" applyFont="1" applyFill="1" applyBorder="1" applyAlignment="1" applyProtection="1">
      <alignment horizontal="center" vertical="center"/>
    </xf>
    <xf numFmtId="10" fontId="4" fillId="0" borderId="0" xfId="0" applyNumberFormat="1" applyFont="1" applyAlignment="1" applyProtection="1">
      <alignment horizontal="left" vertical="top"/>
    </xf>
    <xf numFmtId="10" fontId="4" fillId="0" borderId="0" xfId="0" applyNumberFormat="1" applyFont="1" applyAlignment="1" applyProtection="1">
      <alignment horizontal="right" vertical="top"/>
    </xf>
    <xf numFmtId="10" fontId="4" fillId="0" borderId="2" xfId="0" applyNumberFormat="1" applyFont="1" applyBorder="1" applyAlignment="1" applyProtection="1">
      <alignment horizontal="right" vertical="top"/>
    </xf>
    <xf numFmtId="0" fontId="8" fillId="0" borderId="0" xfId="0" applyFont="1" applyAlignment="1" applyProtection="1">
      <alignment horizontal="left" vertical="top" indent="5"/>
    </xf>
    <xf numFmtId="0" fontId="13" fillId="0" borderId="0" xfId="0" applyFont="1" applyAlignment="1" applyProtection="1">
      <alignment horizontal="center" vertical="top"/>
    </xf>
    <xf numFmtId="0" fontId="9" fillId="9" borderId="3" xfId="0" applyFont="1" applyFill="1" applyBorder="1" applyAlignment="1" applyProtection="1">
      <alignment horizontal="center" vertical="center"/>
    </xf>
    <xf numFmtId="0" fontId="9" fillId="9" borderId="4" xfId="0" applyFont="1" applyFill="1" applyBorder="1" applyAlignment="1" applyProtection="1">
      <alignment horizontal="center" vertical="center"/>
    </xf>
    <xf numFmtId="0" fontId="6" fillId="8" borderId="3" xfId="0" applyFont="1" applyFill="1" applyBorder="1" applyAlignment="1" applyProtection="1">
      <alignment horizontal="center" vertical="center"/>
    </xf>
    <xf numFmtId="0" fontId="6" fillId="8" borderId="4" xfId="0" applyFont="1" applyFill="1" applyBorder="1" applyAlignment="1" applyProtection="1">
      <alignment horizontal="center" vertical="center"/>
    </xf>
    <xf numFmtId="0" fontId="9" fillId="7" borderId="3" xfId="0" applyFont="1" applyFill="1" applyBorder="1" applyAlignment="1" applyProtection="1">
      <alignment horizontal="center" vertical="center"/>
    </xf>
    <xf numFmtId="0" fontId="9" fillId="7" borderId="4" xfId="0" applyFont="1" applyFill="1" applyBorder="1" applyAlignment="1" applyProtection="1">
      <alignment horizontal="center" vertical="center"/>
    </xf>
    <xf numFmtId="3" fontId="4" fillId="0" borderId="0" xfId="4" applyNumberFormat="1" applyFont="1" applyAlignment="1" applyProtection="1">
      <alignment horizontal="right" vertical="top"/>
    </xf>
    <xf numFmtId="0" fontId="9" fillId="3" borderId="3" xfId="0" applyFont="1" applyFill="1" applyBorder="1" applyAlignment="1" applyProtection="1">
      <alignment horizontal="center" vertical="center"/>
    </xf>
    <xf numFmtId="0" fontId="9" fillId="3" borderId="4" xfId="0" applyFont="1" applyFill="1" applyBorder="1" applyAlignment="1" applyProtection="1">
      <alignment horizontal="center" vertical="center"/>
    </xf>
    <xf numFmtId="0" fontId="6" fillId="8" borderId="7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left" vertical="top" indent="3"/>
    </xf>
    <xf numFmtId="0" fontId="10" fillId="0" borderId="0" xfId="0" applyFont="1" applyAlignment="1" applyProtection="1">
      <alignment horizontal="center" vertical="top"/>
    </xf>
    <xf numFmtId="0" fontId="4" fillId="0" borderId="0" xfId="0" applyFont="1" applyAlignment="1" applyProtection="1">
      <alignment horizontal="right" vertical="top"/>
    </xf>
    <xf numFmtId="0" fontId="8" fillId="0" borderId="0" xfId="0" applyFont="1" applyAlignment="1" applyProtection="1"/>
    <xf numFmtId="0" fontId="8" fillId="0" borderId="0" xfId="0" applyFont="1" applyAlignment="1" applyProtection="1">
      <alignment horizontal="center"/>
    </xf>
    <xf numFmtId="3" fontId="18" fillId="4" borderId="11" xfId="0" applyNumberFormat="1" applyFont="1" applyFill="1" applyBorder="1" applyAlignment="1" applyProtection="1">
      <alignment horizontal="right"/>
    </xf>
    <xf numFmtId="3" fontId="19" fillId="4" borderId="11" xfId="0" applyNumberFormat="1" applyFont="1" applyFill="1" applyBorder="1" applyAlignment="1" applyProtection="1"/>
    <xf numFmtId="0" fontId="13" fillId="0" borderId="0" xfId="0" applyFont="1" applyAlignment="1" applyProtection="1">
      <alignment horizontal="left" vertical="top"/>
    </xf>
    <xf numFmtId="0" fontId="10" fillId="0" borderId="0" xfId="0" applyFont="1" applyAlignment="1" applyProtection="1">
      <alignment horizontal="left" vertical="top"/>
    </xf>
    <xf numFmtId="3" fontId="4" fillId="0" borderId="0" xfId="0" applyNumberFormat="1" applyFont="1" applyFill="1" applyAlignment="1" applyProtection="1">
      <alignment horizontal="right" vertical="top"/>
    </xf>
    <xf numFmtId="3" fontId="4" fillId="0" borderId="0" xfId="4" applyNumberFormat="1" applyFont="1" applyFill="1" applyAlignment="1" applyProtection="1">
      <alignment horizontal="right" vertical="top"/>
    </xf>
    <xf numFmtId="0" fontId="4" fillId="0" borderId="0" xfId="0" applyFont="1" applyAlignment="1" applyProtection="1"/>
    <xf numFmtId="3" fontId="4" fillId="0" borderId="0" xfId="2" applyNumberFormat="1" applyFont="1" applyAlignment="1" applyProtection="1"/>
    <xf numFmtId="3" fontId="4" fillId="0" borderId="0" xfId="0" applyNumberFormat="1" applyFont="1" applyAlignment="1" applyProtection="1"/>
    <xf numFmtId="3" fontId="4" fillId="0" borderId="0" xfId="2" applyNumberFormat="1" applyFont="1" applyAlignment="1">
      <protection locked="0"/>
    </xf>
    <xf numFmtId="169" fontId="4" fillId="0" borderId="0" xfId="2" applyNumberFormat="1" applyFont="1" applyAlignment="1" applyProtection="1"/>
    <xf numFmtId="0" fontId="8" fillId="0" borderId="0" xfId="0" applyFont="1" applyAlignment="1" applyProtection="1">
      <alignment horizontal="left" vertical="top"/>
    </xf>
    <xf numFmtId="0" fontId="4" fillId="0" borderId="0" xfId="0" applyFont="1" applyAlignment="1" applyProtection="1">
      <alignment horizontal="center"/>
    </xf>
    <xf numFmtId="0" fontId="21" fillId="0" borderId="0" xfId="3" applyFont="1" applyAlignment="1">
      <alignment horizontal="center"/>
    </xf>
    <xf numFmtId="0" fontId="20" fillId="0" borderId="0" xfId="3" applyFont="1"/>
    <xf numFmtId="0" fontId="21" fillId="0" borderId="6" xfId="3" applyFont="1" applyBorder="1" applyAlignment="1">
      <alignment horizontal="center"/>
    </xf>
    <xf numFmtId="0" fontId="21" fillId="0" borderId="0" xfId="3" quotePrefix="1" applyFont="1" applyBorder="1" applyAlignment="1">
      <alignment horizontal="center"/>
    </xf>
    <xf numFmtId="0" fontId="21" fillId="0" borderId="0" xfId="3" applyFont="1" applyBorder="1" applyAlignment="1">
      <alignment horizontal="center"/>
    </xf>
    <xf numFmtId="0" fontId="21" fillId="0" borderId="0" xfId="3" quotePrefix="1" applyFont="1" applyAlignment="1">
      <alignment horizontal="center"/>
    </xf>
    <xf numFmtId="0" fontId="20" fillId="0" borderId="0" xfId="3" applyFont="1" applyAlignment="1">
      <alignment horizontal="left" indent="1"/>
    </xf>
    <xf numFmtId="10" fontId="20" fillId="0" borderId="0" xfId="5" applyNumberFormat="1" applyFont="1" applyFill="1"/>
    <xf numFmtId="171" fontId="20" fillId="0" borderId="0" xfId="3" applyNumberFormat="1" applyFont="1"/>
    <xf numFmtId="170" fontId="20" fillId="0" borderId="0" xfId="3" applyNumberFormat="1" applyFont="1"/>
    <xf numFmtId="43" fontId="20" fillId="0" borderId="0" xfId="3" applyNumberFormat="1" applyFont="1"/>
    <xf numFmtId="10" fontId="20" fillId="0" borderId="2" xfId="5" applyNumberFormat="1" applyFont="1" applyBorder="1"/>
    <xf numFmtId="0" fontId="22" fillId="11" borderId="0" xfId="0" applyFont="1" applyFill="1" applyAlignment="1" applyProtection="1"/>
    <xf numFmtId="0" fontId="23" fillId="0" borderId="0" xfId="0" applyFont="1" applyAlignment="1" applyProtection="1"/>
    <xf numFmtId="0" fontId="24" fillId="0" borderId="0" xfId="0" applyFont="1" applyAlignment="1" applyProtection="1"/>
    <xf numFmtId="0" fontId="24" fillId="0" borderId="0" xfId="0" applyFont="1" applyAlignment="1" applyProtection="1">
      <alignment horizontal="right"/>
    </xf>
    <xf numFmtId="0" fontId="25" fillId="0" borderId="0" xfId="0" applyFont="1" applyAlignment="1" applyProtection="1">
      <protection hidden="1"/>
    </xf>
    <xf numFmtId="0" fontId="26" fillId="0" borderId="0" xfId="0" applyFont="1" applyAlignment="1" applyProtection="1"/>
    <xf numFmtId="0" fontId="26" fillId="12" borderId="9" xfId="0" applyFont="1" applyFill="1" applyBorder="1" applyAlignment="1" applyProtection="1">
      <alignment horizontal="center"/>
    </xf>
    <xf numFmtId="0" fontId="26" fillId="13" borderId="9" xfId="0" applyFont="1" applyFill="1" applyBorder="1" applyAlignment="1" applyProtection="1">
      <alignment horizontal="center"/>
    </xf>
    <xf numFmtId="0" fontId="26" fillId="12" borderId="12" xfId="0" applyFont="1" applyFill="1" applyBorder="1" applyAlignment="1" applyProtection="1">
      <alignment horizontal="center"/>
    </xf>
    <xf numFmtId="0" fontId="26" fillId="11" borderId="12" xfId="0" applyFont="1" applyFill="1" applyBorder="1" applyAlignment="1" applyProtection="1">
      <alignment horizontal="center"/>
    </xf>
    <xf numFmtId="0" fontId="27" fillId="11" borderId="9" xfId="0" applyFont="1" applyFill="1" applyBorder="1" applyAlignment="1" applyProtection="1">
      <alignment horizontal="center"/>
    </xf>
    <xf numFmtId="0" fontId="26" fillId="11" borderId="10" xfId="0" applyFont="1" applyFill="1" applyBorder="1" applyAlignment="1" applyProtection="1">
      <alignment horizontal="center"/>
    </xf>
    <xf numFmtId="0" fontId="28" fillId="0" borderId="13" xfId="0" applyFont="1" applyBorder="1" applyAlignment="1" applyProtection="1"/>
    <xf numFmtId="0" fontId="28" fillId="0" borderId="14" xfId="0" applyFont="1" applyBorder="1" applyAlignment="1" applyProtection="1"/>
    <xf numFmtId="0" fontId="24" fillId="0" borderId="0" xfId="0" applyFont="1" applyBorder="1" applyAlignment="1" applyProtection="1"/>
    <xf numFmtId="0" fontId="24" fillId="0" borderId="14" xfId="0" applyFont="1" applyBorder="1" applyAlignment="1" applyProtection="1"/>
    <xf numFmtId="0" fontId="29" fillId="0" borderId="0" xfId="0" applyFont="1" applyBorder="1" applyAlignment="1" applyProtection="1"/>
    <xf numFmtId="0" fontId="24" fillId="0" borderId="15" xfId="0" applyFont="1" applyBorder="1" applyAlignment="1" applyProtection="1"/>
    <xf numFmtId="0" fontId="24" fillId="0" borderId="13" xfId="0" applyFont="1" applyBorder="1" applyAlignment="1" applyProtection="1">
      <alignment horizontal="left" indent="1"/>
    </xf>
    <xf numFmtId="0" fontId="24" fillId="0" borderId="14" xfId="0" applyFont="1" applyBorder="1" applyAlignment="1" applyProtection="1">
      <alignment horizontal="left" indent="1"/>
    </xf>
    <xf numFmtId="3" fontId="24" fillId="0" borderId="0" xfId="0" applyNumberFormat="1" applyFont="1" applyBorder="1" applyAlignment="1" applyProtection="1"/>
    <xf numFmtId="3" fontId="24" fillId="0" borderId="16" xfId="0" applyNumberFormat="1" applyFont="1" applyBorder="1" applyAlignment="1" applyProtection="1"/>
    <xf numFmtId="3" fontId="29" fillId="0" borderId="0" xfId="0" applyNumberFormat="1" applyFont="1" applyBorder="1" applyAlignment="1" applyProtection="1"/>
    <xf numFmtId="10" fontId="24" fillId="0" borderId="15" xfId="0" applyNumberFormat="1" applyFont="1" applyBorder="1" applyAlignment="1" applyProtection="1"/>
    <xf numFmtId="0" fontId="26" fillId="0" borderId="13" xfId="0" applyFont="1" applyBorder="1" applyAlignment="1" applyProtection="1">
      <alignment horizontal="left" indent="2"/>
    </xf>
    <xf numFmtId="0" fontId="26" fillId="0" borderId="14" xfId="0" applyFont="1" applyBorder="1" applyAlignment="1" applyProtection="1">
      <alignment horizontal="left" indent="2"/>
    </xf>
    <xf numFmtId="3" fontId="24" fillId="0" borderId="17" xfId="0" applyNumberFormat="1" applyFont="1" applyBorder="1" applyAlignment="1" applyProtection="1"/>
    <xf numFmtId="3" fontId="24" fillId="0" borderId="11" xfId="0" applyNumberFormat="1" applyFont="1" applyBorder="1" applyAlignment="1" applyProtection="1"/>
    <xf numFmtId="3" fontId="29" fillId="0" borderId="17" xfId="0" applyNumberFormat="1" applyFont="1" applyBorder="1" applyAlignment="1" applyProtection="1"/>
    <xf numFmtId="10" fontId="24" fillId="0" borderId="18" xfId="0" applyNumberFormat="1" applyFont="1" applyBorder="1" applyAlignment="1" applyProtection="1"/>
    <xf numFmtId="0" fontId="24" fillId="0" borderId="13" xfId="0" applyFont="1" applyBorder="1" applyAlignment="1" applyProtection="1"/>
    <xf numFmtId="0" fontId="26" fillId="0" borderId="13" xfId="0" applyFont="1" applyBorder="1" applyAlignment="1" applyProtection="1"/>
    <xf numFmtId="0" fontId="26" fillId="0" borderId="14" xfId="0" applyFont="1" applyBorder="1" applyAlignment="1" applyProtection="1"/>
    <xf numFmtId="3" fontId="26" fillId="0" borderId="19" xfId="0" applyNumberFormat="1" applyFont="1" applyBorder="1" applyAlignment="1" applyProtection="1"/>
    <xf numFmtId="3" fontId="26" fillId="0" borderId="20" xfId="0" applyNumberFormat="1" applyFont="1" applyBorder="1" applyAlignment="1" applyProtection="1"/>
    <xf numFmtId="3" fontId="27" fillId="0" borderId="19" xfId="0" applyNumberFormat="1" applyFont="1" applyBorder="1" applyAlignment="1" applyProtection="1"/>
    <xf numFmtId="10" fontId="24" fillId="0" borderId="21" xfId="0" applyNumberFormat="1" applyFont="1" applyBorder="1" applyAlignment="1" applyProtection="1"/>
    <xf numFmtId="0" fontId="24" fillId="0" borderId="22" xfId="0" applyFont="1" applyBorder="1" applyAlignment="1" applyProtection="1"/>
    <xf numFmtId="0" fontId="24" fillId="0" borderId="23" xfId="0" applyFont="1" applyBorder="1" applyAlignment="1" applyProtection="1"/>
    <xf numFmtId="3" fontId="24" fillId="0" borderId="24" xfId="0" applyNumberFormat="1" applyFont="1" applyBorder="1" applyAlignment="1" applyProtection="1"/>
    <xf numFmtId="3" fontId="24" fillId="0" borderId="23" xfId="0" applyNumberFormat="1" applyFont="1" applyBorder="1" applyAlignment="1" applyProtection="1"/>
    <xf numFmtId="0" fontId="24" fillId="0" borderId="25" xfId="0" applyFont="1" applyBorder="1" applyAlignment="1" applyProtection="1"/>
    <xf numFmtId="3" fontId="24" fillId="0" borderId="0" xfId="0" applyNumberFormat="1" applyFont="1" applyAlignment="1" applyProtection="1"/>
    <xf numFmtId="0" fontId="21" fillId="0" borderId="0" xfId="3" applyFont="1" applyAlignment="1">
      <alignment horizontal="centerContinuous"/>
    </xf>
    <xf numFmtId="0" fontId="20" fillId="0" borderId="0" xfId="3" applyFont="1" applyAlignment="1">
      <alignment horizontal="centerContinuous"/>
    </xf>
    <xf numFmtId="10" fontId="20" fillId="0" borderId="0" xfId="5" applyNumberFormat="1" applyFont="1" applyFill="1" applyAlignment="1">
      <alignment horizontal="center"/>
    </xf>
    <xf numFmtId="0" fontId="16" fillId="0" borderId="0" xfId="2" applyAlignment="1" applyProtection="1">
      <alignment horizontal="right" vertical="top"/>
    </xf>
    <xf numFmtId="0" fontId="22" fillId="11" borderId="0" xfId="6" applyFont="1" applyFill="1"/>
    <xf numFmtId="0" fontId="23" fillId="0" borderId="0" xfId="6" applyFont="1"/>
    <xf numFmtId="0" fontId="24" fillId="0" borderId="0" xfId="6" applyFont="1"/>
    <xf numFmtId="0" fontId="24" fillId="0" borderId="0" xfId="6" applyFont="1" applyAlignment="1">
      <alignment horizontal="right"/>
    </xf>
    <xf numFmtId="0" fontId="25" fillId="0" borderId="0" xfId="6" applyFont="1" applyProtection="1">
      <protection hidden="1"/>
    </xf>
    <xf numFmtId="0" fontId="26" fillId="0" borderId="0" xfId="6" applyFont="1"/>
    <xf numFmtId="0" fontId="26" fillId="12" borderId="9" xfId="6" applyFont="1" applyFill="1" applyBorder="1" applyAlignment="1">
      <alignment horizontal="center"/>
    </xf>
    <xf numFmtId="0" fontId="26" fillId="13" borderId="9" xfId="6" applyFont="1" applyFill="1" applyBorder="1" applyAlignment="1">
      <alignment horizontal="center"/>
    </xf>
    <xf numFmtId="0" fontId="26" fillId="12" borderId="12" xfId="6" applyFont="1" applyFill="1" applyBorder="1" applyAlignment="1">
      <alignment horizontal="center"/>
    </xf>
    <xf numFmtId="0" fontId="26" fillId="11" borderId="12" xfId="6" applyFont="1" applyFill="1" applyBorder="1" applyAlignment="1">
      <alignment horizontal="center"/>
    </xf>
    <xf numFmtId="0" fontId="27" fillId="11" borderId="9" xfId="6" applyFont="1" applyFill="1" applyBorder="1" applyAlignment="1">
      <alignment horizontal="center"/>
    </xf>
    <xf numFmtId="0" fontId="26" fillId="11" borderId="10" xfId="6" applyFont="1" applyFill="1" applyBorder="1" applyAlignment="1">
      <alignment horizontal="center"/>
    </xf>
    <xf numFmtId="0" fontId="28" fillId="0" borderId="13" xfId="6" applyFont="1" applyBorder="1"/>
    <xf numFmtId="0" fontId="28" fillId="0" borderId="14" xfId="6" applyFont="1" applyBorder="1"/>
    <xf numFmtId="0" fontId="24" fillId="0" borderId="0" xfId="6" applyFont="1" applyBorder="1"/>
    <xf numFmtId="0" fontId="24" fillId="0" borderId="14" xfId="6" applyFont="1" applyBorder="1"/>
    <xf numFmtId="0" fontId="29" fillId="0" borderId="0" xfId="6" applyFont="1" applyBorder="1"/>
    <xf numFmtId="0" fontId="24" fillId="0" borderId="15" xfId="6" applyFont="1" applyBorder="1"/>
    <xf numFmtId="0" fontId="24" fillId="0" borderId="13" xfId="6" applyFont="1" applyBorder="1" applyAlignment="1">
      <alignment horizontal="left" indent="1"/>
    </xf>
    <xf numFmtId="0" fontId="24" fillId="0" borderId="14" xfId="6" applyFont="1" applyBorder="1" applyAlignment="1">
      <alignment horizontal="left" indent="1"/>
    </xf>
    <xf numFmtId="3" fontId="24" fillId="0" borderId="0" xfId="6" applyNumberFormat="1" applyFont="1" applyBorder="1"/>
    <xf numFmtId="3" fontId="24" fillId="0" borderId="16" xfId="6" applyNumberFormat="1" applyFont="1" applyBorder="1"/>
    <xf numFmtId="3" fontId="29" fillId="0" borderId="0" xfId="6" applyNumberFormat="1" applyFont="1" applyBorder="1"/>
    <xf numFmtId="10" fontId="24" fillId="0" borderId="15" xfId="6" applyNumberFormat="1" applyFont="1" applyBorder="1"/>
    <xf numFmtId="0" fontId="26" fillId="0" borderId="13" xfId="6" applyFont="1" applyBorder="1" applyAlignment="1">
      <alignment horizontal="left" indent="2"/>
    </xf>
    <xf numFmtId="0" fontId="26" fillId="0" borderId="14" xfId="6" applyFont="1" applyBorder="1" applyAlignment="1">
      <alignment horizontal="left" indent="2"/>
    </xf>
    <xf numFmtId="3" fontId="24" fillId="0" borderId="17" xfId="6" applyNumberFormat="1" applyFont="1" applyBorder="1"/>
    <xf numFmtId="3" fontId="24" fillId="0" borderId="11" xfId="6" applyNumberFormat="1" applyFont="1" applyBorder="1"/>
    <xf numFmtId="3" fontId="29" fillId="0" borderId="17" xfId="6" applyNumberFormat="1" applyFont="1" applyBorder="1"/>
    <xf numFmtId="10" fontId="24" fillId="0" borderId="18" xfId="6" applyNumberFormat="1" applyFont="1" applyBorder="1"/>
    <xf numFmtId="0" fontId="24" fillId="0" borderId="13" xfId="6" applyFont="1" applyBorder="1"/>
    <xf numFmtId="0" fontId="26" fillId="0" borderId="13" xfId="6" applyFont="1" applyBorder="1"/>
    <xf numFmtId="0" fontId="26" fillId="0" borderId="14" xfId="6" applyFont="1" applyBorder="1"/>
    <xf numFmtId="3" fontId="26" fillId="0" borderId="19" xfId="6" applyNumberFormat="1" applyFont="1" applyBorder="1"/>
    <xf numFmtId="3" fontId="26" fillId="0" borderId="20" xfId="6" applyNumberFormat="1" applyFont="1" applyBorder="1"/>
    <xf numFmtId="3" fontId="27" fillId="0" borderId="19" xfId="6" applyNumberFormat="1" applyFont="1" applyBorder="1"/>
    <xf numFmtId="10" fontId="24" fillId="0" borderId="21" xfId="6" applyNumberFormat="1" applyFont="1" applyBorder="1"/>
    <xf numFmtId="0" fontId="24" fillId="0" borderId="22" xfId="6" applyFont="1" applyBorder="1"/>
    <xf numFmtId="0" fontId="24" fillId="0" borderId="23" xfId="6" applyFont="1" applyBorder="1"/>
    <xf numFmtId="3" fontId="24" fillId="0" borderId="24" xfId="6" applyNumberFormat="1" applyFont="1" applyBorder="1"/>
    <xf numFmtId="3" fontId="24" fillId="0" borderId="23" xfId="6" applyNumberFormat="1" applyFont="1" applyBorder="1"/>
    <xf numFmtId="0" fontId="24" fillId="0" borderId="25" xfId="6" applyFont="1" applyBorder="1"/>
    <xf numFmtId="3" fontId="24" fillId="0" borderId="0" xfId="6" applyNumberFormat="1" applyFont="1"/>
    <xf numFmtId="0" fontId="29" fillId="0" borderId="26" xfId="6" applyFont="1" applyBorder="1"/>
    <xf numFmtId="3" fontId="29" fillId="0" borderId="27" xfId="6" applyNumberFormat="1" applyFont="1" applyBorder="1"/>
    <xf numFmtId="3" fontId="29" fillId="0" borderId="28" xfId="6" applyNumberFormat="1" applyFont="1" applyBorder="1"/>
    <xf numFmtId="3" fontId="27" fillId="0" borderId="29" xfId="6" applyNumberFormat="1" applyFont="1" applyBorder="1"/>
    <xf numFmtId="3" fontId="24" fillId="0" borderId="30" xfId="6" applyNumberFormat="1" applyFont="1" applyBorder="1"/>
    <xf numFmtId="0" fontId="4" fillId="0" borderId="0" xfId="0" applyFont="1" applyAlignment="1" applyProtection="1">
      <alignment horizontal="center" vertical="top"/>
    </xf>
    <xf numFmtId="164" fontId="4" fillId="0" borderId="0" xfId="0" applyNumberFormat="1" applyFont="1" applyAlignment="1" applyProtection="1">
      <alignment horizontal="right" vertical="top"/>
    </xf>
    <xf numFmtId="164" fontId="4" fillId="0" borderId="0" xfId="0" applyNumberFormat="1" applyFont="1" applyAlignment="1" applyProtection="1">
      <alignment horizontal="center" vertical="top"/>
    </xf>
    <xf numFmtId="164" fontId="4" fillId="0" borderId="0" xfId="0" applyNumberFormat="1" applyFont="1" applyAlignment="1" applyProtection="1">
      <alignment horizontal="left" vertical="top"/>
    </xf>
    <xf numFmtId="170" fontId="4" fillId="0" borderId="0" xfId="129" applyNumberFormat="1" applyFont="1" applyAlignment="1" applyProtection="1">
      <alignment horizontal="right" vertical="top"/>
    </xf>
    <xf numFmtId="10" fontId="20" fillId="0" borderId="0" xfId="5" applyNumberFormat="1" applyFont="1" applyFill="1" applyAlignment="1"/>
    <xf numFmtId="10" fontId="20" fillId="0" borderId="0" xfId="3" applyNumberFormat="1" applyFont="1"/>
    <xf numFmtId="0" fontId="38" fillId="11" borderId="0" xfId="0" applyFont="1" applyFill="1" applyAlignment="1" applyProtection="1"/>
    <xf numFmtId="0" fontId="9" fillId="0" borderId="0" xfId="0" applyFont="1" applyAlignment="1" applyProtection="1">
      <alignment horizontal="left" vertical="top"/>
    </xf>
    <xf numFmtId="164" fontId="9" fillId="0" borderId="0" xfId="0" applyNumberFormat="1" applyFont="1" applyAlignment="1" applyProtection="1">
      <alignment horizontal="right" vertical="top"/>
    </xf>
    <xf numFmtId="0" fontId="9" fillId="0" borderId="0" xfId="0" applyFont="1" applyAlignment="1" applyProtection="1"/>
    <xf numFmtId="0" fontId="38" fillId="11" borderId="0" xfId="6" applyFont="1" applyFill="1"/>
    <xf numFmtId="0" fontId="21" fillId="0" borderId="0" xfId="3" applyFont="1"/>
    <xf numFmtId="0" fontId="13" fillId="0" borderId="0" xfId="0" applyFont="1" applyAlignment="1" applyProtection="1">
      <alignment horizontal="center" vertical="top"/>
    </xf>
    <xf numFmtId="0" fontId="10" fillId="0" borderId="0" xfId="0" applyFont="1" applyAlignment="1" applyProtection="1">
      <alignment horizontal="center" vertical="top"/>
    </xf>
    <xf numFmtId="164" fontId="3" fillId="3" borderId="8" xfId="0" applyNumberFormat="1" applyFont="1" applyFill="1" applyBorder="1" applyAlignment="1" applyProtection="1">
      <alignment horizontal="center" vertical="center"/>
    </xf>
    <xf numFmtId="164" fontId="3" fillId="3" borderId="9" xfId="0" applyNumberFormat="1" applyFont="1" applyFill="1" applyBorder="1" applyAlignment="1" applyProtection="1">
      <alignment horizontal="center" vertical="center"/>
    </xf>
    <xf numFmtId="164" fontId="3" fillId="3" borderId="10" xfId="0" applyNumberFormat="1" applyFont="1" applyFill="1" applyBorder="1" applyAlignment="1" applyProtection="1">
      <alignment horizontal="center" vertical="center"/>
    </xf>
    <xf numFmtId="164" fontId="3" fillId="8" borderId="8" xfId="0" applyNumberFormat="1" applyFont="1" applyFill="1" applyBorder="1" applyAlignment="1" applyProtection="1">
      <alignment horizontal="center" vertical="center"/>
    </xf>
    <xf numFmtId="164" fontId="3" fillId="8" borderId="9" xfId="0" applyNumberFormat="1" applyFont="1" applyFill="1" applyBorder="1" applyAlignment="1" applyProtection="1">
      <alignment horizontal="center" vertical="center"/>
    </xf>
    <xf numFmtId="164" fontId="3" fillId="8" borderId="10" xfId="0" applyNumberFormat="1" applyFont="1" applyFill="1" applyBorder="1" applyAlignment="1" applyProtection="1">
      <alignment horizontal="center" vertical="center"/>
    </xf>
    <xf numFmtId="0" fontId="12" fillId="4" borderId="8" xfId="0" applyFont="1" applyFill="1" applyBorder="1" applyAlignment="1" applyProtection="1">
      <alignment horizontal="center" vertical="center"/>
    </xf>
    <xf numFmtId="0" fontId="12" fillId="4" borderId="9" xfId="0" applyFont="1" applyFill="1" applyBorder="1" applyAlignment="1" applyProtection="1">
      <alignment horizontal="center" vertical="center"/>
    </xf>
    <xf numFmtId="0" fontId="12" fillId="4" borderId="10" xfId="0" applyFont="1" applyFill="1" applyBorder="1" applyAlignment="1" applyProtection="1">
      <alignment horizontal="center" vertical="center"/>
    </xf>
    <xf numFmtId="164" fontId="4" fillId="0" borderId="0" xfId="0" applyNumberFormat="1" applyFont="1" applyAlignment="1" applyProtection="1">
      <alignment horizontal="right" vertical="top"/>
    </xf>
    <xf numFmtId="0" fontId="0" fillId="0" borderId="0" xfId="0" applyAlignment="1" applyProtection="1">
      <alignment horizontal="right" vertical="top"/>
    </xf>
    <xf numFmtId="0" fontId="17" fillId="4" borderId="8" xfId="0" applyFont="1" applyFill="1" applyBorder="1" applyAlignment="1" applyProtection="1">
      <alignment horizontal="center" vertical="top"/>
    </xf>
    <xf numFmtId="0" fontId="17" fillId="4" borderId="10" xfId="0" applyFont="1" applyFill="1" applyBorder="1" applyAlignment="1" applyProtection="1">
      <alignment horizontal="center" vertical="top"/>
    </xf>
    <xf numFmtId="3" fontId="4" fillId="0" borderId="0" xfId="0" applyNumberFormat="1" applyFont="1" applyAlignment="1" applyProtection="1">
      <alignment horizontal="center" vertical="top"/>
    </xf>
    <xf numFmtId="0" fontId="0" fillId="0" borderId="0" xfId="0" applyAlignment="1" applyProtection="1">
      <alignment horizontal="center" vertical="top"/>
    </xf>
    <xf numFmtId="0" fontId="26" fillId="11" borderId="8" xfId="6" applyFont="1" applyFill="1" applyBorder="1" applyAlignment="1">
      <alignment horizontal="center"/>
    </xf>
    <xf numFmtId="0" fontId="26" fillId="11" borderId="12" xfId="6" applyFont="1" applyFill="1" applyBorder="1" applyAlignment="1">
      <alignment horizontal="center"/>
    </xf>
    <xf numFmtId="0" fontId="26" fillId="11" borderId="8" xfId="0" applyFont="1" applyFill="1" applyBorder="1" applyAlignment="1" applyProtection="1">
      <alignment horizontal="center"/>
    </xf>
    <xf numFmtId="0" fontId="26" fillId="11" borderId="12" xfId="0" applyFont="1" applyFill="1" applyBorder="1" applyAlignment="1" applyProtection="1">
      <alignment horizontal="center"/>
    </xf>
  </cellXfs>
  <cellStyles count="129">
    <cellStyle name="Comma" xfId="2" builtinId="3"/>
    <cellStyle name="Comma 2" xfId="7"/>
    <cellStyle name="Comma 2 2" xfId="8"/>
    <cellStyle name="Comma 3" xfId="9"/>
    <cellStyle name="Comma 3 2" xfId="10"/>
    <cellStyle name="Comma 4" xfId="11"/>
    <cellStyle name="Comma 5" xfId="12"/>
    <cellStyle name="Comma 6" xfId="13"/>
    <cellStyle name="Comma 7" xfId="14"/>
    <cellStyle name="Comma 8" xfId="15"/>
    <cellStyle name="Currency 2" xfId="16"/>
    <cellStyle name="Currency 3" xfId="17"/>
    <cellStyle name="Currency 4" xfId="18"/>
    <cellStyle name="Currency 5" xfId="19"/>
    <cellStyle name="Currency 6" xfId="20"/>
    <cellStyle name="Currency 7" xfId="21"/>
    <cellStyle name="Normal" xfId="0" builtinId="0"/>
    <cellStyle name="Normal 10" xfId="22"/>
    <cellStyle name="Normal 11" xfId="23"/>
    <cellStyle name="Normal 12" xfId="24"/>
    <cellStyle name="Normal 13" xfId="25"/>
    <cellStyle name="Normal 14" xfId="26"/>
    <cellStyle name="Normal 2" xfId="6"/>
    <cellStyle name="Normal 2 2" xfId="27"/>
    <cellStyle name="Normal 2 3" xfId="28"/>
    <cellStyle name="Normal 3" xfId="29"/>
    <cellStyle name="Normal 3 2" xfId="30"/>
    <cellStyle name="Normal 3 3" xfId="31"/>
    <cellStyle name="Normal 4" xfId="32"/>
    <cellStyle name="Normal 4 2" xfId="33"/>
    <cellStyle name="Normal 4 3" xfId="34"/>
    <cellStyle name="Normal 5" xfId="35"/>
    <cellStyle name="Normal 5 2" xfId="36"/>
    <cellStyle name="Normal 5 3" xfId="37"/>
    <cellStyle name="Normal 6" xfId="38"/>
    <cellStyle name="Normal 6 2" xfId="39"/>
    <cellStyle name="Normal 6 3" xfId="40"/>
    <cellStyle name="Normal 7" xfId="41"/>
    <cellStyle name="Normal 8" xfId="42"/>
    <cellStyle name="Normal 9" xfId="43"/>
    <cellStyle name="Normal 9 2" xfId="44"/>
    <cellStyle name="Normal 9 3" xfId="45"/>
    <cellStyle name="Normal_Analysis of A&amp;E vs 12CP method allocation factors" xfId="3"/>
    <cellStyle name="Normal_JURIS SEP FACTOR CALC - 2010 TEST YEAR" xfId="4"/>
    <cellStyle name="Percent" xfId="129" builtinId="5"/>
    <cellStyle name="Percent 2" xfId="46"/>
    <cellStyle name="Percent 2 2" xfId="47"/>
    <cellStyle name="Percent 3" xfId="48"/>
    <cellStyle name="Percent 3 2" xfId="49"/>
    <cellStyle name="Percent_Analysis of A&amp;E vs 12CP method allocation factors" xfId="5"/>
    <cellStyle name="SAPBEXaggData" xfId="50"/>
    <cellStyle name="SAPBEXaggDataEmph" xfId="51"/>
    <cellStyle name="SAPBEXaggItem" xfId="52"/>
    <cellStyle name="SAPBEXaggItemX" xfId="53"/>
    <cellStyle name="SAPBEXchaText" xfId="54"/>
    <cellStyle name="SAPBEXexcBad7" xfId="55"/>
    <cellStyle name="SAPBEXexcBad7 2" xfId="56"/>
    <cellStyle name="SAPBEXexcBad8" xfId="57"/>
    <cellStyle name="SAPBEXexcBad8 2" xfId="58"/>
    <cellStyle name="SAPBEXexcBad9" xfId="59"/>
    <cellStyle name="SAPBEXexcBad9 2" xfId="60"/>
    <cellStyle name="SAPBEXexcCritical4" xfId="61"/>
    <cellStyle name="SAPBEXexcCritical4 2" xfId="62"/>
    <cellStyle name="SAPBEXexcCritical5" xfId="63"/>
    <cellStyle name="SAPBEXexcCritical5 2" xfId="64"/>
    <cellStyle name="SAPBEXexcCritical6" xfId="65"/>
    <cellStyle name="SAPBEXexcCritical6 2" xfId="66"/>
    <cellStyle name="SAPBEXexcGood1" xfId="67"/>
    <cellStyle name="SAPBEXexcGood1 2" xfId="68"/>
    <cellStyle name="SAPBEXexcGood2" xfId="69"/>
    <cellStyle name="SAPBEXexcGood2 2" xfId="70"/>
    <cellStyle name="SAPBEXexcGood3" xfId="71"/>
    <cellStyle name="SAPBEXexcGood3 2" xfId="72"/>
    <cellStyle name="SAPBEXfilterDrill" xfId="73"/>
    <cellStyle name="SAPBEXfilterDrill 2" xfId="74"/>
    <cellStyle name="SAPBEXfilterDrill_Feb 12 Revenue Trend (2)" xfId="75"/>
    <cellStyle name="SAPBEXfilterItem" xfId="76"/>
    <cellStyle name="SAPBEXfilterItem 2" xfId="77"/>
    <cellStyle name="SAPBEXfilterText" xfId="78"/>
    <cellStyle name="SAPBEXformats" xfId="79"/>
    <cellStyle name="SAPBEXformats 2" xfId="80"/>
    <cellStyle name="SAPBEXheaderItem" xfId="81"/>
    <cellStyle name="SAPBEXheaderItem 2" xfId="82"/>
    <cellStyle name="SAPBEXheaderItem 3" xfId="83"/>
    <cellStyle name="SAPBEXheaderItem 4" xfId="84"/>
    <cellStyle name="SAPBEXheaderItem 5" xfId="85"/>
    <cellStyle name="SAPBEXheaderItem 6" xfId="86"/>
    <cellStyle name="SAPBEXheaderItem 7" xfId="87"/>
    <cellStyle name="SAPBEXheaderItem 8" xfId="88"/>
    <cellStyle name="SAPBEXheaderText" xfId="89"/>
    <cellStyle name="SAPBEXheaderText 2" xfId="90"/>
    <cellStyle name="SAPBEXheaderText 3" xfId="91"/>
    <cellStyle name="SAPBEXheaderText 4" xfId="92"/>
    <cellStyle name="SAPBEXheaderText 5" xfId="93"/>
    <cellStyle name="SAPBEXheaderText 6" xfId="94"/>
    <cellStyle name="SAPBEXheaderText 7" xfId="95"/>
    <cellStyle name="SAPBEXheaderText 8" xfId="96"/>
    <cellStyle name="SAPBEXHLevel0" xfId="97"/>
    <cellStyle name="SAPBEXHLevel0X" xfId="98"/>
    <cellStyle name="SAPBEXHLevel1" xfId="99"/>
    <cellStyle name="SAPBEXHLevel1 2" xfId="100"/>
    <cellStyle name="SAPBEXHLevel1_Feb 12 Revenue Trend (2)" xfId="101"/>
    <cellStyle name="SAPBEXHLevel1X" xfId="102"/>
    <cellStyle name="SAPBEXHLevel2" xfId="103"/>
    <cellStyle name="SAPBEXHLevel2 2" xfId="104"/>
    <cellStyle name="SAPBEXHLevel2 3" xfId="105"/>
    <cellStyle name="SAPBEXHLevel2_Feb 12 Revenue Trend (2)" xfId="106"/>
    <cellStyle name="SAPBEXHLevel2X" xfId="107"/>
    <cellStyle name="SAPBEXHLevel3" xfId="108"/>
    <cellStyle name="SAPBEXHLevel3X" xfId="109"/>
    <cellStyle name="SAPBEXinputData" xfId="110"/>
    <cellStyle name="SAPBEXresData" xfId="111"/>
    <cellStyle name="SAPBEXresData 2" xfId="112"/>
    <cellStyle name="SAPBEXresDataEmph" xfId="113"/>
    <cellStyle name="SAPBEXresItem" xfId="114"/>
    <cellStyle name="SAPBEXresItem 2" xfId="115"/>
    <cellStyle name="SAPBEXresItemX" xfId="116"/>
    <cellStyle name="SAPBEXresItemX 2" xfId="117"/>
    <cellStyle name="SAPBEXstdData" xfId="118"/>
    <cellStyle name="SAPBEXstdData 2" xfId="119"/>
    <cellStyle name="SAPBEXstdData 3" xfId="120"/>
    <cellStyle name="SAPBEXstdData_Feb 12 Revenue Trend (2)" xfId="121"/>
    <cellStyle name="SAPBEXstdDataEmph" xfId="122"/>
    <cellStyle name="SAPBEXstdItem" xfId="123"/>
    <cellStyle name="SAPBEXstdItemX" xfId="124"/>
    <cellStyle name="SAPBEXtitle" xfId="125"/>
    <cellStyle name="SAPBEXundefined" xfId="126"/>
    <cellStyle name="SAPBEXundefined 2" xfId="127"/>
    <cellStyle name="Style 1" xfId="128"/>
  </cellStyles>
  <dxfs count="4"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21</xdr:row>
      <xdr:rowOff>85725</xdr:rowOff>
    </xdr:from>
    <xdr:to>
      <xdr:col>3</xdr:col>
      <xdr:colOff>285750</xdr:colOff>
      <xdr:row>21</xdr:row>
      <xdr:rowOff>85725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3057525" y="3238500"/>
          <a:ext cx="257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285750</xdr:colOff>
      <xdr:row>5</xdr:row>
      <xdr:rowOff>85725</xdr:rowOff>
    </xdr:from>
    <xdr:to>
      <xdr:col>3</xdr:col>
      <xdr:colOff>285750</xdr:colOff>
      <xdr:row>21</xdr:row>
      <xdr:rowOff>85725</xdr:rowOff>
    </xdr:to>
    <xdr:sp macro="" textlink="">
      <xdr:nvSpPr>
        <xdr:cNvPr id="1026" name="Line 2"/>
        <xdr:cNvSpPr>
          <a:spLocks noChangeShapeType="1"/>
        </xdr:cNvSpPr>
      </xdr:nvSpPr>
      <xdr:spPr bwMode="auto">
        <a:xfrm flipV="1">
          <a:off x="3314700" y="800100"/>
          <a:ext cx="0" cy="2438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161925</xdr:colOff>
      <xdr:row>5</xdr:row>
      <xdr:rowOff>85725</xdr:rowOff>
    </xdr:from>
    <xdr:to>
      <xdr:col>3</xdr:col>
      <xdr:colOff>285750</xdr:colOff>
      <xdr:row>5</xdr:row>
      <xdr:rowOff>85725</xdr:rowOff>
    </xdr:to>
    <xdr:sp macro="" textlink="">
      <xdr:nvSpPr>
        <xdr:cNvPr id="1027" name="Line 3"/>
        <xdr:cNvSpPr>
          <a:spLocks noChangeShapeType="1"/>
        </xdr:cNvSpPr>
      </xdr:nvSpPr>
      <xdr:spPr bwMode="auto">
        <a:xfrm flipH="1">
          <a:off x="2428875" y="800100"/>
          <a:ext cx="885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70"/>
  <sheetViews>
    <sheetView showGridLines="0" tabSelected="1" zoomScale="75" zoomScaleNormal="75" workbookViewId="0">
      <selection activeCell="C6" sqref="C6"/>
    </sheetView>
  </sheetViews>
  <sheetFormatPr defaultColWidth="9.140625" defaultRowHeight="14.25" x14ac:dyDescent="0.2"/>
  <cols>
    <col min="1" max="1" width="18" style="110" customWidth="1"/>
    <col min="2" max="2" width="2.7109375" style="110" customWidth="1"/>
    <col min="3" max="3" width="14" style="110" bestFit="1" customWidth="1"/>
    <col min="4" max="4" width="15.42578125" style="110" bestFit="1" customWidth="1"/>
    <col min="5" max="9" width="12.7109375" style="110" customWidth="1"/>
    <col min="10" max="10" width="16.7109375" style="110" customWidth="1"/>
    <col min="11" max="11" width="15.7109375" style="110" customWidth="1"/>
    <col min="12" max="12" width="16.7109375" style="110" customWidth="1"/>
    <col min="13" max="13" width="18.42578125" style="110" bestFit="1" customWidth="1"/>
    <col min="14" max="15" width="14.42578125" style="110" bestFit="1" customWidth="1"/>
    <col min="16" max="16384" width="9.140625" style="110"/>
  </cols>
  <sheetData>
    <row r="1" spans="1:15" s="228" customFormat="1" ht="15" x14ac:dyDescent="0.25">
      <c r="A1" s="228" t="s">
        <v>363</v>
      </c>
    </row>
    <row r="2" spans="1:15" s="228" customFormat="1" ht="15" x14ac:dyDescent="0.25">
      <c r="A2" s="228" t="s">
        <v>364</v>
      </c>
    </row>
    <row r="3" spans="1:15" s="228" customFormat="1" ht="15" x14ac:dyDescent="0.25"/>
    <row r="4" spans="1:15" ht="15" x14ac:dyDescent="0.25">
      <c r="A4" s="164" t="s">
        <v>200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5"/>
    </row>
    <row r="5" spans="1:15" ht="15" x14ac:dyDescent="0.25">
      <c r="A5" s="164" t="s">
        <v>201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5"/>
    </row>
    <row r="6" spans="1:15" ht="15" x14ac:dyDescent="0.25">
      <c r="A6" s="164" t="s">
        <v>258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5"/>
    </row>
    <row r="7" spans="1:15" ht="1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09"/>
    </row>
    <row r="8" spans="1:15" s="109" customFormat="1" ht="15" x14ac:dyDescent="0.25">
      <c r="A8" s="111"/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</row>
    <row r="9" spans="1:15" s="109" customFormat="1" ht="15" x14ac:dyDescent="0.25">
      <c r="A9" s="112" t="s">
        <v>202</v>
      </c>
      <c r="C9" s="112" t="s">
        <v>203</v>
      </c>
      <c r="D9" s="112" t="s">
        <v>204</v>
      </c>
      <c r="E9" s="112" t="s">
        <v>205</v>
      </c>
      <c r="F9" s="112" t="s">
        <v>206</v>
      </c>
      <c r="G9" s="112" t="s">
        <v>207</v>
      </c>
      <c r="H9" s="112" t="s">
        <v>319</v>
      </c>
      <c r="I9" s="112" t="s">
        <v>320</v>
      </c>
      <c r="J9" s="112" t="s">
        <v>319</v>
      </c>
      <c r="K9" s="112" t="s">
        <v>320</v>
      </c>
      <c r="L9" s="112" t="s">
        <v>321</v>
      </c>
      <c r="M9" s="112" t="s">
        <v>322</v>
      </c>
      <c r="N9" s="112" t="s">
        <v>321</v>
      </c>
      <c r="O9" s="112" t="s">
        <v>322</v>
      </c>
    </row>
    <row r="10" spans="1:15" s="113" customFormat="1" ht="15" x14ac:dyDescent="0.25">
      <c r="E10" s="113" t="s">
        <v>208</v>
      </c>
      <c r="F10" s="113" t="s">
        <v>314</v>
      </c>
      <c r="G10" s="113" t="s">
        <v>323</v>
      </c>
      <c r="H10" s="113" t="s">
        <v>347</v>
      </c>
      <c r="I10" s="113" t="s">
        <v>348</v>
      </c>
      <c r="J10" s="113" t="s">
        <v>255</v>
      </c>
      <c r="K10" s="113" t="s">
        <v>358</v>
      </c>
      <c r="L10" s="113" t="s">
        <v>359</v>
      </c>
      <c r="M10" s="113" t="s">
        <v>360</v>
      </c>
      <c r="N10" s="113" t="s">
        <v>361</v>
      </c>
      <c r="O10" s="113" t="s">
        <v>362</v>
      </c>
    </row>
    <row r="11" spans="1:15" s="113" customFormat="1" ht="15" x14ac:dyDescent="0.25">
      <c r="A11" s="113" t="s">
        <v>209</v>
      </c>
      <c r="C11" s="113" t="s">
        <v>256</v>
      </c>
      <c r="D11" s="113" t="s">
        <v>255</v>
      </c>
      <c r="E11" s="113" t="s">
        <v>210</v>
      </c>
      <c r="G11" s="113" t="s">
        <v>324</v>
      </c>
      <c r="H11" s="113" t="s">
        <v>345</v>
      </c>
      <c r="I11" s="113" t="s">
        <v>345</v>
      </c>
      <c r="J11" s="113" t="s">
        <v>257</v>
      </c>
      <c r="K11" s="113" t="s">
        <v>257</v>
      </c>
      <c r="L11" s="113" t="s">
        <v>257</v>
      </c>
      <c r="M11" s="113" t="s">
        <v>257</v>
      </c>
      <c r="N11" s="113" t="s">
        <v>257</v>
      </c>
      <c r="O11" s="113" t="s">
        <v>257</v>
      </c>
    </row>
    <row r="12" spans="1:15" s="113" customFormat="1" ht="15" x14ac:dyDescent="0.25">
      <c r="A12" s="111" t="s">
        <v>211</v>
      </c>
      <c r="B12" s="111"/>
      <c r="C12" s="111" t="s">
        <v>212</v>
      </c>
      <c r="D12" s="111" t="s">
        <v>212</v>
      </c>
      <c r="E12" s="111" t="s">
        <v>212</v>
      </c>
      <c r="F12" s="111"/>
      <c r="G12" s="111"/>
      <c r="H12" s="111" t="s">
        <v>212</v>
      </c>
      <c r="I12" s="111" t="s">
        <v>212</v>
      </c>
      <c r="J12" s="111" t="s">
        <v>213</v>
      </c>
      <c r="K12" s="111" t="s">
        <v>213</v>
      </c>
      <c r="L12" s="111" t="s">
        <v>213</v>
      </c>
      <c r="M12" s="111" t="s">
        <v>213</v>
      </c>
      <c r="N12" s="111" t="s">
        <v>213</v>
      </c>
      <c r="O12" s="111" t="s">
        <v>213</v>
      </c>
    </row>
    <row r="13" spans="1:15" s="109" customFormat="1" ht="15" x14ac:dyDescent="0.25">
      <c r="C13" s="113"/>
      <c r="D13" s="114"/>
      <c r="E13" s="113"/>
      <c r="F13" s="113"/>
      <c r="G13" s="113"/>
      <c r="H13" s="113"/>
      <c r="I13" s="113"/>
      <c r="J13" s="166"/>
      <c r="K13" s="113"/>
      <c r="N13" s="113"/>
      <c r="O13" s="113"/>
    </row>
    <row r="14" spans="1:15" ht="15" customHeight="1" x14ac:dyDescent="0.2">
      <c r="A14" s="115" t="s">
        <v>5</v>
      </c>
      <c r="C14" s="116">
        <f>SUMIF('12 CP &amp; 25%'!$A$17:$A$34,$A14,'12 CP &amp; 25%'!$V$17:$V$34)</f>
        <v>2.011861783552403E-2</v>
      </c>
      <c r="D14" s="116">
        <f>SUMIF('12 CP &amp; 1-13th'!A$17:A$34,A14,'12 CP &amp; 1-13th'!V$17:V$34)</f>
        <v>1.9033358231744842E-2</v>
      </c>
      <c r="E14" s="116">
        <f>SUMIF('Average GNCP &amp; Excess'!A$15:A$32,A14,'Average GNCP &amp; Excess'!AA$15:AA$32)</f>
        <v>1.6835539283312887E-2</v>
      </c>
      <c r="F14" s="116">
        <f>SUMIF('4 CP &amp; 4 CP + Win'!A$16:A$33,A14,'4 CP &amp; 4 CP + Win'!J$16:J$33)</f>
        <v>1.7153782119157003E-2</v>
      </c>
      <c r="G14" s="116">
        <f>SUMIF('4 CP &amp; 4 CP + Win'!A$16:A$33,A14,'4 CP &amp; 4 CP + Win'!T$16:T$33)</f>
        <v>1.7405542257385689E-2</v>
      </c>
      <c r="H14" s="116">
        <f>SUMIF('1CP &amp; AD'!A$15:A$32,$A14,'1CP &amp; AD'!X$15:X$32)</f>
        <v>2.2057631568418327E-2</v>
      </c>
      <c r="I14" s="116">
        <f>SUMIF('12CP &amp; AD'!A$15:A$32,$A14,'12CP &amp; AD'!X$15:X$32)</f>
        <v>2.2359303382914572E-2</v>
      </c>
      <c r="J14" s="221">
        <f>+D14-$C14</f>
        <v>-1.085259603779188E-3</v>
      </c>
      <c r="K14" s="221">
        <f>+E14-$C14</f>
        <v>-3.2830785522111432E-3</v>
      </c>
      <c r="L14" s="221">
        <f t="shared" ref="L14:O29" si="0">+F14-$C14</f>
        <v>-2.9648357163670272E-3</v>
      </c>
      <c r="M14" s="221">
        <f t="shared" si="0"/>
        <v>-2.7130755781383416E-3</v>
      </c>
      <c r="N14" s="221">
        <f t="shared" si="0"/>
        <v>1.9390137328942972E-3</v>
      </c>
      <c r="O14" s="221">
        <f t="shared" si="0"/>
        <v>2.2406855473905418E-3</v>
      </c>
    </row>
    <row r="15" spans="1:15" ht="15" customHeight="1" x14ac:dyDescent="0.2">
      <c r="A15" s="115" t="s">
        <v>6</v>
      </c>
      <c r="C15" s="116">
        <f>SUMIF('12 CP &amp; 25%'!$A$17:$A$34,$A15,'12 CP &amp; 25%'!$V$17:$V$34)</f>
        <v>7.8055221241164633E-4</v>
      </c>
      <c r="D15" s="116">
        <f>SUMIF('12 CP &amp; 1-13th'!A$17:A$34,A15,'12 CP &amp; 1-13th'!V$17:V$34)</f>
        <v>7.4231559891284023E-4</v>
      </c>
      <c r="E15" s="116">
        <f>SUMIF('Average GNCP &amp; Excess'!A$15:A$32,A15,'Average GNCP &amp; Excess'!AA$15:AA$32)</f>
        <v>6.5677815211383987E-4</v>
      </c>
      <c r="F15" s="116">
        <f>SUMIF('4 CP &amp; 4 CP + Win'!A$16:A$33,A15,'4 CP &amp; 4 CP + Win'!J$16:J$33)</f>
        <v>6.6942862946002568E-4</v>
      </c>
      <c r="G15" s="116">
        <f>SUMIF('4 CP &amp; 4 CP + Win'!A$16:A$33,A15,'4 CP &amp; 4 CP + Win'!T$16:T$33)</f>
        <v>6.8014731393584117E-4</v>
      </c>
      <c r="H15" s="116">
        <f>SUMIF('1CP &amp; AD'!A$15:A$32,$A15,'1CP &amp; AD'!X$15:X$32)</f>
        <v>8.4672134593962107E-4</v>
      </c>
      <c r="I15" s="116">
        <f>SUMIF('12CP &amp; AD'!A$15:A$32,$A15,'12CP &amp; AD'!X$15:X$32)</f>
        <v>8.5949758819969129E-4</v>
      </c>
      <c r="J15" s="221">
        <f t="shared" ref="J15:J30" si="1">+D15-$C15</f>
        <v>-3.8236613498806096E-5</v>
      </c>
      <c r="K15" s="221">
        <f t="shared" ref="K15:K30" si="2">+E15-$C15</f>
        <v>-1.2377406029780646E-4</v>
      </c>
      <c r="L15" s="221">
        <f t="shared" si="0"/>
        <v>-1.1112358295162065E-4</v>
      </c>
      <c r="M15" s="221">
        <f t="shared" si="0"/>
        <v>-1.0040489847580516E-4</v>
      </c>
      <c r="N15" s="221">
        <f t="shared" si="0"/>
        <v>6.6169133527974738E-5</v>
      </c>
      <c r="O15" s="221">
        <f t="shared" si="0"/>
        <v>7.8945375788044966E-5</v>
      </c>
    </row>
    <row r="16" spans="1:15" ht="15" customHeight="1" x14ac:dyDescent="0.2">
      <c r="A16" s="115" t="s">
        <v>7</v>
      </c>
      <c r="C16" s="116">
        <f>SUMIF('12 CP &amp; 25%'!$A$17:$A$34,$A16,'12 CP &amp; 25%'!$V$17:$V$34)</f>
        <v>1.0632662263658421E-2</v>
      </c>
      <c r="D16" s="116">
        <f>SUMIF('12 CP &amp; 1-13th'!A$17:A$34,A16,'12 CP &amp; 1-13th'!V$17:V$34)</f>
        <v>9.9517749514572689E-3</v>
      </c>
      <c r="E16" s="116">
        <f>SUMIF('Average GNCP &amp; Excess'!A$15:A$32,A16,'Average GNCP &amp; Excess'!AA$15:AA$32)</f>
        <v>9.4023754270746544E-3</v>
      </c>
      <c r="F16" s="116">
        <f>SUMIF('4 CP &amp; 4 CP + Win'!A$16:A$33,A16,'4 CP &amp; 4 CP + Win'!J$16:J$33)</f>
        <v>8.645071985454186E-3</v>
      </c>
      <c r="G16" s="116">
        <f>SUMIF('4 CP &amp; 4 CP + Win'!A$16:A$33,A16,'4 CP &amp; 4 CP + Win'!T$16:T$33)</f>
        <v>8.7401390317393083E-3</v>
      </c>
      <c r="H16" s="116">
        <f>SUMIF('1CP &amp; AD'!A$15:A$32,$A16,'1CP &amp; AD'!X$15:X$32)</f>
        <v>1.1778737399989447E-2</v>
      </c>
      <c r="I16" s="116">
        <f>SUMIF('12CP &amp; AD'!A$15:A$32,$A16,'12CP &amp; AD'!X$15:X$32)</f>
        <v>1.2038458954641795E-2</v>
      </c>
      <c r="J16" s="221">
        <f t="shared" si="1"/>
        <v>-6.808873122011519E-4</v>
      </c>
      <c r="K16" s="221">
        <f t="shared" si="2"/>
        <v>-1.2302868365837664E-3</v>
      </c>
      <c r="L16" s="221">
        <f t="shared" si="0"/>
        <v>-1.9875902782042348E-3</v>
      </c>
      <c r="M16" s="221">
        <f t="shared" si="0"/>
        <v>-1.8925232319191125E-3</v>
      </c>
      <c r="N16" s="221">
        <f t="shared" si="0"/>
        <v>1.1460751363310262E-3</v>
      </c>
      <c r="O16" s="221">
        <f t="shared" si="0"/>
        <v>1.4057966909833738E-3</v>
      </c>
    </row>
    <row r="17" spans="1:15" ht="15" customHeight="1" x14ac:dyDescent="0.2">
      <c r="A17" s="115" t="s">
        <v>171</v>
      </c>
      <c r="C17" s="116">
        <f>SUMIF('12 CP &amp; 25%'!$A$17:$A$34,$A17,'12 CP &amp; 25%'!$V$17:$V$34)</f>
        <v>5.5949626522518954E-2</v>
      </c>
      <c r="D17" s="116">
        <f>SUMIF('12 CP &amp; 1-13th'!A$17:A$34,A17,'12 CP &amp; 1-13th'!V$17:V$34)</f>
        <v>5.6017302250436544E-2</v>
      </c>
      <c r="E17" s="116">
        <f>SUMIF('Average GNCP &amp; Excess'!A$15:A$32,A17,'Average GNCP &amp; Excess'!AA$15:AA$32)</f>
        <v>5.7992961992457376E-2</v>
      </c>
      <c r="F17" s="116">
        <f>SUMIF('4 CP &amp; 4 CP + Win'!A$16:A$33,A17,'4 CP &amp; 4 CP + Win'!J$16:J$33)</f>
        <v>5.9680517579610376E-2</v>
      </c>
      <c r="G17" s="116">
        <f>SUMIF('4 CP &amp; 4 CP + Win'!A$16:A$33,A17,'4 CP &amp; 4 CP + Win'!T$16:T$33)</f>
        <v>5.5520121575348198E-2</v>
      </c>
      <c r="H17" s="116">
        <f>SUMIF('1CP &amp; AD'!A$15:A$32,$A17,'1CP &amp; AD'!X$15:X$32)</f>
        <v>5.7250904629593174E-2</v>
      </c>
      <c r="I17" s="116">
        <f>SUMIF('12CP &amp; AD'!A$15:A$32,$A17,'12CP &amp; AD'!X$15:X$32)</f>
        <v>5.5809899562328021E-2</v>
      </c>
      <c r="J17" s="221">
        <f t="shared" si="1"/>
        <v>6.7675727917590467E-5</v>
      </c>
      <c r="K17" s="221">
        <f t="shared" si="2"/>
        <v>2.0433354699384218E-3</v>
      </c>
      <c r="L17" s="221">
        <f t="shared" si="0"/>
        <v>3.7308910570914219E-3</v>
      </c>
      <c r="M17" s="221">
        <f t="shared" si="0"/>
        <v>-4.2950494717075571E-4</v>
      </c>
      <c r="N17" s="221">
        <f t="shared" si="0"/>
        <v>1.3012781070742205E-3</v>
      </c>
      <c r="O17" s="221">
        <f t="shared" si="0"/>
        <v>-1.3972696019093345E-4</v>
      </c>
    </row>
    <row r="18" spans="1:15" ht="15" customHeight="1" x14ac:dyDescent="0.2">
      <c r="A18" s="115" t="s">
        <v>12</v>
      </c>
      <c r="C18" s="116">
        <f>SUMIF('12 CP &amp; 25%'!$A$17:$A$34,$A18,'12 CP &amp; 25%'!$V$17:$V$34)</f>
        <v>4.9956952796119023E-4</v>
      </c>
      <c r="D18" s="116">
        <f>SUMIF('12 CP &amp; 1-13th'!A$17:A$34,A18,'12 CP &amp; 1-13th'!V$17:V$34)</f>
        <v>4.6439969687336131E-4</v>
      </c>
      <c r="E18" s="116">
        <f>SUMIF('Average GNCP &amp; Excess'!A$15:A$32,A18,'Average GNCP &amp; Excess'!AA$15:AA$32)</f>
        <v>4.0531966050516972E-4</v>
      </c>
      <c r="F18" s="116">
        <f>SUMIF('4 CP &amp; 4 CP + Win'!A$16:A$33,A18,'4 CP &amp; 4 CP + Win'!J$16:J$33)</f>
        <v>4.0149296830190506E-4</v>
      </c>
      <c r="G18" s="116">
        <f>SUMIF('4 CP &amp; 4 CP + Win'!A$16:A$33,A18,'4 CP &amp; 4 CP + Win'!T$16:T$33)</f>
        <v>4.0959552531783276E-4</v>
      </c>
      <c r="H18" s="116">
        <f>SUMIF('1CP &amp; AD'!A$15:A$32,$A18,'1CP &amp; AD'!X$15:X$32)</f>
        <v>5.6107408158929278E-4</v>
      </c>
      <c r="I18" s="116">
        <f>SUMIF('12CP &amp; AD'!A$15:A$32,$A18,'12CP &amp; AD'!X$15:X$32)</f>
        <v>5.721830592750292E-4</v>
      </c>
      <c r="J18" s="221">
        <f t="shared" si="1"/>
        <v>-3.5169831087828916E-5</v>
      </c>
      <c r="K18" s="221">
        <f t="shared" si="2"/>
        <v>-9.4249867456020506E-5</v>
      </c>
      <c r="L18" s="221">
        <f t="shared" si="0"/>
        <v>-9.8076559659285171E-5</v>
      </c>
      <c r="M18" s="221">
        <f t="shared" si="0"/>
        <v>-8.9974002643357473E-5</v>
      </c>
      <c r="N18" s="221">
        <f t="shared" si="0"/>
        <v>6.1504553628102549E-5</v>
      </c>
      <c r="O18" s="221">
        <f t="shared" si="0"/>
        <v>7.2613531313838972E-5</v>
      </c>
    </row>
    <row r="19" spans="1:15" ht="15" customHeight="1" x14ac:dyDescent="0.2">
      <c r="A19" s="115" t="s">
        <v>170</v>
      </c>
      <c r="C19" s="116">
        <f>SUMIF('12 CP &amp; 25%'!$A$17:$A$34,$A19,'12 CP &amp; 25%'!$V$17:$V$34)</f>
        <v>0.22271666360980416</v>
      </c>
      <c r="D19" s="116">
        <f>SUMIF('12 CP &amp; 1-13th'!A$17:A$34,A19,'12 CP &amp; 1-13th'!V$17:V$34)</f>
        <v>0.21854467691490753</v>
      </c>
      <c r="E19" s="116">
        <f>SUMIF('Average GNCP &amp; Excess'!A$15:A$32,A19,'Average GNCP &amp; Excess'!AA$15:AA$32)</f>
        <v>0.21060451846622752</v>
      </c>
      <c r="F19" s="116">
        <f>SUMIF('4 CP &amp; 4 CP + Win'!A$16:A$33,A19,'4 CP &amp; 4 CP + Win'!J$16:J$33)</f>
        <v>0.21408371212745986</v>
      </c>
      <c r="G19" s="116">
        <f>SUMIF('4 CP &amp; 4 CP + Win'!A$16:A$33,A19,'4 CP &amp; 4 CP + Win'!T$16:T$33)</f>
        <v>0.20777944349958286</v>
      </c>
      <c r="H19" s="116">
        <f>SUMIF('1CP &amp; AD'!A$15:A$32,$A19,'1CP &amp; AD'!X$15:X$32)</f>
        <v>0.23028624528844738</v>
      </c>
      <c r="I19" s="116">
        <f>SUMIF('12CP &amp; AD'!A$15:A$32,$A19,'12CP &amp; AD'!X$15:X$32)</f>
        <v>0.23133037249439511</v>
      </c>
      <c r="J19" s="221">
        <f t="shared" si="1"/>
        <v>-4.1719866948966289E-3</v>
      </c>
      <c r="K19" s="221">
        <f t="shared" si="2"/>
        <v>-1.2112145143576641E-2</v>
      </c>
      <c r="L19" s="221">
        <f t="shared" si="0"/>
        <v>-8.6329514823443032E-3</v>
      </c>
      <c r="M19" s="221">
        <f t="shared" si="0"/>
        <v>-1.4937220110221305E-2</v>
      </c>
      <c r="N19" s="221">
        <f t="shared" si="0"/>
        <v>7.5695816786432168E-3</v>
      </c>
      <c r="O19" s="221">
        <f t="shared" si="0"/>
        <v>8.6137088845909537E-3</v>
      </c>
    </row>
    <row r="20" spans="1:15" ht="15" customHeight="1" x14ac:dyDescent="0.2">
      <c r="A20" s="115" t="s">
        <v>172</v>
      </c>
      <c r="C20" s="116">
        <f>SUMIF('12 CP &amp; 25%'!$A$17:$A$34,$A20,'12 CP &amp; 25%'!$V$17:$V$34)</f>
        <v>9.0075250528583992E-2</v>
      </c>
      <c r="D20" s="116">
        <f>SUMIF('12 CP &amp; 1-13th'!A$17:A$34,A20,'12 CP &amp; 1-13th'!V$17:V$34)</f>
        <v>8.8272748683546398E-2</v>
      </c>
      <c r="E20" s="116">
        <f>SUMIF('Average GNCP &amp; Excess'!A$15:A$32,A20,'Average GNCP &amp; Excess'!AA$15:AA$32)</f>
        <v>8.6500637096492111E-2</v>
      </c>
      <c r="F20" s="116">
        <f>SUMIF('4 CP &amp; 4 CP + Win'!A$16:A$33,A20,'4 CP &amp; 4 CP + Win'!J$16:J$33)</f>
        <v>8.2911983488773336E-2</v>
      </c>
      <c r="G20" s="116">
        <f>SUMIF('4 CP &amp; 4 CP + Win'!A$16:A$33,A20,'4 CP &amp; 4 CP + Win'!T$16:T$33)</f>
        <v>8.1886079550291757E-2</v>
      </c>
      <c r="H20" s="116">
        <f>SUMIF('1CP &amp; AD'!A$15:A$32,$A20,'1CP &amp; AD'!X$15:X$32)</f>
        <v>9.2491727461574191E-2</v>
      </c>
      <c r="I20" s="116">
        <f>SUMIF('12CP &amp; AD'!A$15:A$32,$A20,'12CP &amp; AD'!X$15:X$32)</f>
        <v>9.3796793115496921E-2</v>
      </c>
      <c r="J20" s="221">
        <f t="shared" si="1"/>
        <v>-1.8025018450375935E-3</v>
      </c>
      <c r="K20" s="221">
        <f t="shared" si="2"/>
        <v>-3.5746134320918804E-3</v>
      </c>
      <c r="L20" s="221">
        <f t="shared" si="0"/>
        <v>-7.1632670398106557E-3</v>
      </c>
      <c r="M20" s="221">
        <f t="shared" si="0"/>
        <v>-8.1891709782922345E-3</v>
      </c>
      <c r="N20" s="221">
        <f t="shared" si="0"/>
        <v>2.4164769329901997E-3</v>
      </c>
      <c r="O20" s="221">
        <f t="shared" si="0"/>
        <v>3.7215425869129293E-3</v>
      </c>
    </row>
    <row r="21" spans="1:15" ht="15" customHeight="1" x14ac:dyDescent="0.2">
      <c r="A21" s="115" t="s">
        <v>174</v>
      </c>
      <c r="C21" s="116">
        <f>SUMIF('12 CP &amp; 25%'!$A$17:$A$34,$A21,'12 CP &amp; 25%'!$V$17:$V$34)</f>
        <v>1.884004556593466E-2</v>
      </c>
      <c r="D21" s="116">
        <f>SUMIF('12 CP &amp; 1-13th'!A$17:A$34,A21,'12 CP &amp; 1-13th'!V$17:V$34)</f>
        <v>1.7813703390433099E-2</v>
      </c>
      <c r="E21" s="116">
        <f>SUMIF('Average GNCP &amp; Excess'!A$15:A$32,A21,'Average GNCP &amp; Excess'!AA$15:AA$32)</f>
        <v>1.6632936251361325E-2</v>
      </c>
      <c r="F21" s="116">
        <f>SUMIF('4 CP &amp; 4 CP + Win'!A$16:A$33,A21,'4 CP &amp; 4 CP + Win'!J$16:J$33)</f>
        <v>1.5964628538819924E-2</v>
      </c>
      <c r="G21" s="116">
        <f>SUMIF('4 CP &amp; 4 CP + Win'!A$16:A$33,A21,'4 CP &amp; 4 CP + Win'!T$16:T$33)</f>
        <v>1.599021257403857E-2</v>
      </c>
      <c r="H21" s="116">
        <f>SUMIF('1CP &amp; AD'!A$15:A$32,$A21,'1CP &amp; AD'!X$15:X$32)</f>
        <v>2.0649120430262683E-2</v>
      </c>
      <c r="I21" s="116">
        <f>SUMIF('12CP &amp; AD'!A$15:A$32,$A21,'12CP &amp; AD'!X$15:X$32)</f>
        <v>2.0959087011239962E-2</v>
      </c>
      <c r="J21" s="221">
        <f t="shared" si="1"/>
        <v>-1.0263421755015607E-3</v>
      </c>
      <c r="K21" s="221">
        <f t="shared" si="2"/>
        <v>-2.2071093145733349E-3</v>
      </c>
      <c r="L21" s="221">
        <f t="shared" si="0"/>
        <v>-2.8754170271147357E-3</v>
      </c>
      <c r="M21" s="221">
        <f t="shared" si="0"/>
        <v>-2.8498329918960896E-3</v>
      </c>
      <c r="N21" s="221">
        <f t="shared" si="0"/>
        <v>1.8090748643280231E-3</v>
      </c>
      <c r="O21" s="221">
        <f t="shared" si="0"/>
        <v>2.1190414453053016E-3</v>
      </c>
    </row>
    <row r="22" spans="1:15" ht="15" customHeight="1" x14ac:dyDescent="0.2">
      <c r="A22" s="115" t="s">
        <v>175</v>
      </c>
      <c r="C22" s="116">
        <f>SUMIF('12 CP &amp; 25%'!$A$17:$A$34,$A22,'12 CP &amp; 25%'!$V$17:$V$34)</f>
        <v>1.2691276148287379E-3</v>
      </c>
      <c r="D22" s="116">
        <f>SUMIF('12 CP &amp; 1-13th'!A$17:A$34,A22,'12 CP &amp; 1-13th'!V$17:V$34)</f>
        <v>1.2025326767087304E-3</v>
      </c>
      <c r="E22" s="116">
        <f>SUMIF('Average GNCP &amp; Excess'!A$15:A$32,A22,'Average GNCP &amp; Excess'!AA$15:AA$32)</f>
        <v>1.543894326385741E-3</v>
      </c>
      <c r="F22" s="116">
        <f>SUMIF('4 CP &amp; 4 CP + Win'!A$16:A$33,A22,'4 CP &amp; 4 CP + Win'!J$16:J$33)</f>
        <v>1.0673761936798414E-3</v>
      </c>
      <c r="G22" s="116">
        <f>SUMIF('4 CP &amp; 4 CP + Win'!A$16:A$33,A22,'4 CP &amp; 4 CP + Win'!T$16:T$33)</f>
        <v>1.083461705032415E-3</v>
      </c>
      <c r="H22" s="116">
        <f>SUMIF('1CP &amp; AD'!A$15:A$32,$A22,'1CP &amp; AD'!X$15:X$32)</f>
        <v>1.4045777165509375E-3</v>
      </c>
      <c r="I22" s="116">
        <f>SUMIF('12CP &amp; AD'!A$15:A$32,$A22,'12CP &amp; AD'!X$15:X$32)</f>
        <v>1.4066231180753768E-3</v>
      </c>
      <c r="J22" s="221">
        <f t="shared" si="1"/>
        <v>-6.6594938120007573E-5</v>
      </c>
      <c r="K22" s="221">
        <f t="shared" si="2"/>
        <v>2.7476671155700306E-4</v>
      </c>
      <c r="L22" s="221">
        <f t="shared" si="0"/>
        <v>-2.0175142114889659E-4</v>
      </c>
      <c r="M22" s="221">
        <f t="shared" si="0"/>
        <v>-1.8566590979632292E-4</v>
      </c>
      <c r="N22" s="221">
        <f t="shared" si="0"/>
        <v>1.3545010172219952E-4</v>
      </c>
      <c r="O22" s="221">
        <f t="shared" si="0"/>
        <v>1.3749550324663887E-4</v>
      </c>
    </row>
    <row r="23" spans="1:15" ht="15" customHeight="1" x14ac:dyDescent="0.2">
      <c r="A23" s="115" t="s">
        <v>20</v>
      </c>
      <c r="C23" s="116">
        <f>SUMIF('12 CP &amp; 25%'!$A$17:$A$34,$A23,'12 CP &amp; 25%'!$V$17:$V$34)</f>
        <v>7.7123716638500715E-4</v>
      </c>
      <c r="D23" s="116">
        <f>SUMIF('12 CP &amp; 1-13th'!A$17:A$34,A23,'12 CP &amp; 1-13th'!V$17:V$34)</f>
        <v>7.5793746586467136E-4</v>
      </c>
      <c r="E23" s="116">
        <f>SUMIF('Average GNCP &amp; Excess'!A$15:A$32,A23,'Average GNCP &amp; Excess'!AA$15:AA$32)</f>
        <v>7.4416107407479439E-4</v>
      </c>
      <c r="F23" s="116">
        <f>SUMIF('4 CP &amp; 4 CP + Win'!A$16:A$33,A23,'4 CP &amp; 4 CP + Win'!J$16:J$33)</f>
        <v>7.0680174802574948E-4</v>
      </c>
      <c r="G23" s="116">
        <f>SUMIF('4 CP &amp; 4 CP + Win'!A$16:A$33,A23,'4 CP &amp; 4 CP + Win'!T$16:T$33)</f>
        <v>7.2603868535655702E-4</v>
      </c>
      <c r="H23" s="116">
        <f>SUMIF('1CP &amp; AD'!A$15:A$32,$A23,'1CP &amp; AD'!X$15:X$32)</f>
        <v>7.944401788051611E-4</v>
      </c>
      <c r="I23" s="116">
        <f>SUMIF('12CP &amp; AD'!A$15:A$32,$A23,'12CP &amp; AD'!X$15:X$32)</f>
        <v>7.9869644583921797E-4</v>
      </c>
      <c r="J23" s="221">
        <f t="shared" si="1"/>
        <v>-1.3299700520335786E-5</v>
      </c>
      <c r="K23" s="221">
        <f t="shared" si="2"/>
        <v>-2.707609231021276E-5</v>
      </c>
      <c r="L23" s="221">
        <f t="shared" si="0"/>
        <v>-6.4435418359257667E-5</v>
      </c>
      <c r="M23" s="221">
        <f t="shared" si="0"/>
        <v>-4.5198481028450128E-5</v>
      </c>
      <c r="N23" s="221">
        <f t="shared" si="0"/>
        <v>2.320301242015395E-5</v>
      </c>
      <c r="O23" s="221">
        <f t="shared" si="0"/>
        <v>2.7459279454210826E-5</v>
      </c>
    </row>
    <row r="24" spans="1:15" ht="15" customHeight="1" x14ac:dyDescent="0.2">
      <c r="A24" s="115" t="s">
        <v>21</v>
      </c>
      <c r="C24" s="116">
        <f>SUMIF('12 CP &amp; 25%'!$A$17:$A$34,$A24,'12 CP &amp; 25%'!$V$17:$V$34)</f>
        <v>3.0158427990224681E-4</v>
      </c>
      <c r="D24" s="116">
        <f>SUMIF('12 CP &amp; 1-13th'!A$17:A$34,A24,'12 CP &amp; 1-13th'!V$17:V$34)</f>
        <v>1.6148288289534918E-4</v>
      </c>
      <c r="E24" s="116">
        <f>SUMIF('Average GNCP &amp; Excess'!A$15:A$32,A24,'Average GNCP &amp; Excess'!AA$15:AA$32)</f>
        <v>1.1610400051463338E-3</v>
      </c>
      <c r="F24" s="116">
        <f>SUMIF('4 CP &amp; 4 CP + Win'!A$16:A$33,A24,'4 CP &amp; 4 CP + Win'!J$16:J$33)</f>
        <v>0</v>
      </c>
      <c r="G24" s="116">
        <f>SUMIF('4 CP &amp; 4 CP + Win'!A$16:A$33,A24,'4 CP &amp; 4 CP + Win'!T$16:T$33)</f>
        <v>8.7223950479051356E-5</v>
      </c>
      <c r="H24" s="116">
        <f>SUMIF('1CP &amp; AD'!A$15:A$32,$A24,'1CP &amp; AD'!X$15:X$32)</f>
        <v>5.8269126414056509E-4</v>
      </c>
      <c r="I24" s="116">
        <f>SUMIF('12CP &amp; AD'!A$15:A$32,$A24,'12CP &amp; AD'!X$15:X$32)</f>
        <v>5.9084518517266106E-4</v>
      </c>
      <c r="J24" s="221">
        <f t="shared" si="1"/>
        <v>-1.4010139700689763E-4</v>
      </c>
      <c r="K24" s="221">
        <f t="shared" si="2"/>
        <v>8.5945572524408697E-4</v>
      </c>
      <c r="L24" s="221">
        <f t="shared" si="0"/>
        <v>-3.0158427990224681E-4</v>
      </c>
      <c r="M24" s="221">
        <f t="shared" si="0"/>
        <v>-2.1436032942319546E-4</v>
      </c>
      <c r="N24" s="221">
        <f t="shared" si="0"/>
        <v>2.8110698423831828E-4</v>
      </c>
      <c r="O24" s="221">
        <f t="shared" si="0"/>
        <v>2.8926090527041425E-4</v>
      </c>
    </row>
    <row r="25" spans="1:15" ht="15" customHeight="1" x14ac:dyDescent="0.2">
      <c r="A25" s="115" t="s">
        <v>22</v>
      </c>
      <c r="C25" s="116">
        <f>SUMIF('12 CP &amp; 25%'!$A$17:$A$34,$A25,'12 CP &amp; 25%'!$V$17:$V$34)</f>
        <v>7.6773387861450007E-5</v>
      </c>
      <c r="D25" s="116">
        <f>SUMIF('12 CP &amp; 1-13th'!A$17:A$34,A25,'12 CP &amp; 1-13th'!V$17:V$34)</f>
        <v>7.1493044727131166E-5</v>
      </c>
      <c r="E25" s="116">
        <f>SUMIF('Average GNCP &amp; Excess'!A$15:A$32,A25,'Average GNCP &amp; Excess'!AA$15:AA$32)</f>
        <v>4.9039157678773928E-4</v>
      </c>
      <c r="F25" s="116">
        <f>SUMIF('4 CP &amp; 4 CP + Win'!A$16:A$33,A25,'4 CP &amp; 4 CP + Win'!J$16:J$33)</f>
        <v>4.1904588536511047E-5</v>
      </c>
      <c r="G25" s="116">
        <f>SUMIF('4 CP &amp; 4 CP + Win'!A$16:A$33,A25,'4 CP &amp; 4 CP + Win'!T$16:T$33)</f>
        <v>5.7307814418566446E-5</v>
      </c>
      <c r="H25" s="116">
        <f>SUMIF('1CP &amp; AD'!A$15:A$32,$A25,'1CP &amp; AD'!X$15:X$32)</f>
        <v>7.9250743054798357E-5</v>
      </c>
      <c r="I25" s="116">
        <f>SUMIF('12CP &amp; AD'!A$15:A$32,$A25,'12CP &amp; AD'!X$15:X$32)</f>
        <v>8.7675469266793084E-5</v>
      </c>
      <c r="J25" s="221">
        <f t="shared" si="1"/>
        <v>-5.280343134318841E-6</v>
      </c>
      <c r="K25" s="221">
        <f t="shared" si="2"/>
        <v>4.1361818892628925E-4</v>
      </c>
      <c r="L25" s="221">
        <f t="shared" si="0"/>
        <v>-3.486879932493896E-5</v>
      </c>
      <c r="M25" s="221">
        <f t="shared" si="0"/>
        <v>-1.9465573442883562E-5</v>
      </c>
      <c r="N25" s="221">
        <f t="shared" si="0"/>
        <v>2.4773551933483497E-6</v>
      </c>
      <c r="O25" s="221">
        <f t="shared" si="0"/>
        <v>1.0902081405343077E-5</v>
      </c>
    </row>
    <row r="26" spans="1:15" ht="15" customHeight="1" x14ac:dyDescent="0.2">
      <c r="A26" s="115" t="s">
        <v>169</v>
      </c>
      <c r="C26" s="116">
        <f>SUMIF('12 CP &amp; 25%'!$A$17:$A$34,$A26,'12 CP &amp; 25%'!$V$17:$V$34)</f>
        <v>0.57533386009534382</v>
      </c>
      <c r="D26" s="116">
        <f>SUMIF('12 CP &amp; 1-13th'!A$17:A$34,A26,'12 CP &amp; 1-13th'!V$17:V$34)</f>
        <v>0.58520746285907921</v>
      </c>
      <c r="E26" s="116">
        <f>SUMIF('Average GNCP &amp; Excess'!A$15:A$32,A26,'Average GNCP &amp; Excess'!AA$15:AA$32)</f>
        <v>0.58733195984201614</v>
      </c>
      <c r="F26" s="116">
        <f>SUMIF('4 CP &amp; 4 CP + Win'!A$16:A$33,A26,'4 CP &amp; 4 CP + Win'!J$16:J$33)</f>
        <v>0.59803888185421772</v>
      </c>
      <c r="G26" s="116">
        <f>SUMIF('4 CP &amp; 4 CP + Win'!A$16:A$33,A26,'4 CP &amp; 4 CP + Win'!T$16:T$33)</f>
        <v>0.60843842085729705</v>
      </c>
      <c r="H26" s="116">
        <f>SUMIF('1CP &amp; AD'!A$15:A$32,$A26,'1CP &amp; AD'!X$15:X$32)</f>
        <v>0.55690372290657386</v>
      </c>
      <c r="I26" s="116">
        <f>SUMIF('12CP &amp; AD'!A$15:A$32,$A26,'12CP &amp; AD'!X$15:X$32)</f>
        <v>0.55494828696948872</v>
      </c>
      <c r="J26" s="221">
        <f t="shared" si="1"/>
        <v>9.8736027637353896E-3</v>
      </c>
      <c r="K26" s="221">
        <f t="shared" si="2"/>
        <v>1.1998099746672319E-2</v>
      </c>
      <c r="L26" s="221">
        <f t="shared" si="0"/>
        <v>2.27050217588739E-2</v>
      </c>
      <c r="M26" s="221">
        <f t="shared" si="0"/>
        <v>3.3104560761953228E-2</v>
      </c>
      <c r="N26" s="221">
        <f t="shared" si="0"/>
        <v>-1.8430137188769957E-2</v>
      </c>
      <c r="O26" s="221">
        <f t="shared" si="0"/>
        <v>-2.0385573125855094E-2</v>
      </c>
    </row>
    <row r="27" spans="1:15" ht="15" customHeight="1" x14ac:dyDescent="0.2">
      <c r="A27" s="115" t="s">
        <v>27</v>
      </c>
      <c r="C27" s="116">
        <f>SUMIF('12 CP &amp; 25%'!$A$17:$A$34,$A27,'12 CP &amp; 25%'!$V$17:$V$34)</f>
        <v>1.7403350042879935E-3</v>
      </c>
      <c r="D27" s="116">
        <f>SUMIF('12 CP &amp; 1-13th'!A$17:A$34,A27,'12 CP &amp; 1-13th'!V$17:V$34)</f>
        <v>9.3970197746692547E-4</v>
      </c>
      <c r="E27" s="116">
        <f>SUMIF('Average GNCP &amp; Excess'!A$15:A$32,A27,'Average GNCP &amp; Excess'!AA$15:AA$32)</f>
        <v>6.7827193278208239E-3</v>
      </c>
      <c r="F27" s="116">
        <f>SUMIF('4 CP &amp; 4 CP + Win'!A$16:A$33,A27,'4 CP &amp; 4 CP + Win'!J$16:J$33)</f>
        <v>0</v>
      </c>
      <c r="G27" s="116">
        <f>SUMIF('4 CP &amp; 4 CP + Win'!A$16:A$33,A27,'4 CP &amp; 4 CP + Win'!T$16:T$33)</f>
        <v>5.2577047452877115E-4</v>
      </c>
      <c r="H27" s="116">
        <f>SUMIF('1CP &amp; AD'!A$15:A$32,$A27,'1CP &amp; AD'!X$15:X$32)</f>
        <v>3.3407120816050214E-3</v>
      </c>
      <c r="I27" s="116">
        <f>SUMIF('12CP &amp; AD'!A$15:A$32,$A27,'12CP &amp; AD'!X$15:X$32)</f>
        <v>3.3933651601275676E-3</v>
      </c>
      <c r="J27" s="221">
        <f t="shared" si="1"/>
        <v>-8.0063302682106807E-4</v>
      </c>
      <c r="K27" s="221">
        <f t="shared" si="2"/>
        <v>5.0423843235328303E-3</v>
      </c>
      <c r="L27" s="221">
        <f t="shared" si="0"/>
        <v>-1.7403350042879935E-3</v>
      </c>
      <c r="M27" s="221">
        <f t="shared" si="0"/>
        <v>-1.2145645297592224E-3</v>
      </c>
      <c r="N27" s="221">
        <f t="shared" si="0"/>
        <v>1.6003770773170278E-3</v>
      </c>
      <c r="O27" s="221">
        <f t="shared" si="0"/>
        <v>1.6530301558395741E-3</v>
      </c>
    </row>
    <row r="28" spans="1:15" ht="15" customHeight="1" x14ac:dyDescent="0.2">
      <c r="A28" s="115" t="s">
        <v>28</v>
      </c>
      <c r="C28" s="116">
        <f>SUMIF('12 CP &amp; 25%'!$A$17:$A$34,$A28,'12 CP &amp; 25%'!$V$17:$V$34)</f>
        <v>2.3289691400414639E-4</v>
      </c>
      <c r="D28" s="116">
        <f>SUMIF('12 CP &amp; 1-13th'!A$17:A$34,A28,'12 CP &amp; 1-13th'!V$17:V$34)</f>
        <v>2.1646614822888762E-4</v>
      </c>
      <c r="E28" s="116">
        <f>SUMIF('Average GNCP &amp; Excess'!A$15:A$32,A28,'Average GNCP &amp; Excess'!AA$15:AA$32)</f>
        <v>1.8583187293487696E-4</v>
      </c>
      <c r="F28" s="116">
        <f>SUMIF('4 CP &amp; 4 CP + Win'!A$16:A$33,A28,'4 CP &amp; 4 CP + Win'!J$16:J$33)</f>
        <v>1.8673163750772918E-4</v>
      </c>
      <c r="G28" s="116">
        <f>SUMIF('4 CP &amp; 4 CP + Win'!A$16:A$33,A28,'4 CP &amp; 4 CP + Win'!T$16:T$33)</f>
        <v>1.9125545979046515E-4</v>
      </c>
      <c r="H28" s="116">
        <f>SUMIF('1CP &amp; AD'!A$15:A$32,$A28,'1CP &amp; AD'!X$15:X$32)</f>
        <v>2.6152137436650017E-4</v>
      </c>
      <c r="I28" s="116">
        <f>SUMIF('12CP &amp; AD'!A$15:A$32,$A28,'12CP &amp; AD'!X$15:X$32)</f>
        <v>2.6682075976139819E-4</v>
      </c>
      <c r="J28" s="221">
        <f t="shared" si="1"/>
        <v>-1.6430765775258773E-5</v>
      </c>
      <c r="K28" s="221">
        <f t="shared" si="2"/>
        <v>-4.7065041069269429E-5</v>
      </c>
      <c r="L28" s="221">
        <f t="shared" si="0"/>
        <v>-4.6165276496417209E-5</v>
      </c>
      <c r="M28" s="221">
        <f t="shared" si="0"/>
        <v>-4.1641454213681237E-5</v>
      </c>
      <c r="N28" s="221">
        <f t="shared" si="0"/>
        <v>2.8624460362353777E-5</v>
      </c>
      <c r="O28" s="221">
        <f t="shared" si="0"/>
        <v>3.3923845757251797E-5</v>
      </c>
    </row>
    <row r="29" spans="1:15" ht="15" customHeight="1" x14ac:dyDescent="0.2">
      <c r="A29" s="115" t="s">
        <v>29</v>
      </c>
      <c r="C29" s="116">
        <f>SUMIF('12 CP &amp; 25%'!$A$17:$A$34,$A29,'12 CP &amp; 25%'!$V$17:$V$34)</f>
        <v>9.4055259906596116E-5</v>
      </c>
      <c r="D29" s="116">
        <f>SUMIF('12 CP &amp; 1-13th'!A$17:A$34,A29,'12 CP &amp; 1-13th'!V$17:V$34)</f>
        <v>9.0894563599329967E-5</v>
      </c>
      <c r="E29" s="116">
        <f>SUMIF('Average GNCP &amp; Excess'!A$15:A$32,A29,'Average GNCP &amp; Excess'!AA$15:AA$32)</f>
        <v>3.4344158448407138E-4</v>
      </c>
      <c r="F29" s="116">
        <f>SUMIF('4 CP &amp; 4 CP + Win'!A$16:A$33,A29,'4 CP &amp; 4 CP + Win'!J$16:J$33)</f>
        <v>8.3829948787431243E-5</v>
      </c>
      <c r="G29" s="116">
        <f>SUMIF('4 CP &amp; 4 CP + Win'!A$16:A$33,A29,'4 CP &amp; 4 CP + Win'!T$16:T$33)</f>
        <v>7.8729265525722731E-5</v>
      </c>
      <c r="H29" s="116">
        <f>SUMIF('1CP &amp; AD'!A$15:A$32,$A29,'1CP &amp; AD'!X$15:X$32)</f>
        <v>9.6422209208588759E-5</v>
      </c>
      <c r="I29" s="116">
        <f>SUMIF('12CP &amp; AD'!A$15:A$32,$A29,'12CP &amp; AD'!X$15:X$32)</f>
        <v>1.0058100407943721E-4</v>
      </c>
      <c r="J29" s="221">
        <f t="shared" si="1"/>
        <v>-3.1606963072661491E-6</v>
      </c>
      <c r="K29" s="221">
        <f t="shared" si="2"/>
        <v>2.4938632457747524E-4</v>
      </c>
      <c r="L29" s="221">
        <f t="shared" si="0"/>
        <v>-1.0225311119164873E-5</v>
      </c>
      <c r="M29" s="221">
        <f t="shared" si="0"/>
        <v>-1.5325994380873385E-5</v>
      </c>
      <c r="N29" s="221">
        <f t="shared" si="0"/>
        <v>2.3669493019926432E-6</v>
      </c>
      <c r="O29" s="221">
        <f t="shared" si="0"/>
        <v>6.5257441728410891E-6</v>
      </c>
    </row>
    <row r="30" spans="1:15" ht="15" customHeight="1" x14ac:dyDescent="0.2">
      <c r="A30" s="115" t="s">
        <v>30</v>
      </c>
      <c r="C30" s="116">
        <f>SUMIF('12 CP &amp; 25%'!$A$17:$A$34,$A30,'12 CP &amp; 25%'!$V$17:$V$34)</f>
        <v>5.6714221108298342E-4</v>
      </c>
      <c r="D30" s="116">
        <f>SUMIF('12 CP &amp; 1-13th'!A$17:A$34,A30,'12 CP &amp; 1-13th'!V$17:V$34)</f>
        <v>5.1174866311790761E-4</v>
      </c>
      <c r="E30" s="116">
        <f>SUMIF('Average GNCP &amp; Excess'!A$15:A$32,A30,'Average GNCP &amp; Excess'!AA$15:AA$32)</f>
        <v>2.3854940608045313E-3</v>
      </c>
      <c r="F30" s="116">
        <f>SUMIF('4 CP &amp; 4 CP + Win'!A$16:A$33,A30,'4 CP &amp; 4 CP + Win'!J$16:J$33)</f>
        <v>3.6385659220836516E-4</v>
      </c>
      <c r="G30" s="116">
        <f>SUMIF('4 CP &amp; 4 CP + Win'!A$16:A$33,A30,'4 CP &amp; 4 CP + Win'!T$16:T$33)</f>
        <v>4.0051045993146024E-4</v>
      </c>
      <c r="H30" s="116">
        <f>SUMIF('1CP &amp; AD'!A$15:A$32,$A30,'1CP &amp; AD'!X$15:X$32)</f>
        <v>6.1449931988053917E-4</v>
      </c>
      <c r="I30" s="116">
        <f>SUMIF('12CP &amp; AD'!A$15:A$32,$A30,'12CP &amp; AD'!X$15:X$32)</f>
        <v>6.8151071969770505E-4</v>
      </c>
      <c r="J30" s="221">
        <f t="shared" si="1"/>
        <v>-5.5393547965075811E-5</v>
      </c>
      <c r="K30" s="221">
        <f t="shared" si="2"/>
        <v>1.8183518497215479E-3</v>
      </c>
      <c r="L30" s="221">
        <f t="shared" ref="L30" si="3">+F30-$C30</f>
        <v>-2.0328561887461826E-4</v>
      </c>
      <c r="M30" s="221">
        <f t="shared" ref="M30" si="4">+G30-$C30</f>
        <v>-1.6663175115152318E-4</v>
      </c>
      <c r="N30" s="221">
        <f t="shared" ref="N30" si="5">+H30-$C30</f>
        <v>4.735710879755575E-5</v>
      </c>
      <c r="O30" s="221">
        <f t="shared" ref="O30" si="6">+I30-$C30</f>
        <v>1.1436850861472163E-4</v>
      </c>
    </row>
    <row r="31" spans="1:15" x14ac:dyDescent="0.2">
      <c r="A31" s="115"/>
      <c r="C31" s="118"/>
      <c r="D31" s="117"/>
      <c r="E31" s="119"/>
      <c r="F31" s="119"/>
      <c r="G31" s="119"/>
      <c r="H31" s="119"/>
      <c r="I31" s="119"/>
      <c r="J31" s="117"/>
      <c r="K31" s="117"/>
    </row>
    <row r="32" spans="1:15" ht="15" thickBot="1" x14ac:dyDescent="0.25">
      <c r="A32" s="110" t="s">
        <v>173</v>
      </c>
      <c r="C32" s="120">
        <f t="shared" ref="C32" si="7">SUM(C14:C31)</f>
        <v>1</v>
      </c>
      <c r="D32" s="120">
        <f t="shared" ref="D32:O32" si="8">SUM(D14:D31)</f>
        <v>1.0000000000000002</v>
      </c>
      <c r="E32" s="120">
        <f t="shared" si="8"/>
        <v>0.99999999999999989</v>
      </c>
      <c r="F32" s="120">
        <f t="shared" si="8"/>
        <v>0.99999999999999989</v>
      </c>
      <c r="G32" s="120">
        <f t="shared" si="8"/>
        <v>1</v>
      </c>
      <c r="H32" s="120">
        <f t="shared" si="8"/>
        <v>1</v>
      </c>
      <c r="I32" s="120">
        <f t="shared" si="8"/>
        <v>0.99999999999999989</v>
      </c>
      <c r="J32" s="120">
        <f t="shared" si="8"/>
        <v>-6.2883726004159257E-18</v>
      </c>
      <c r="K32" s="120">
        <f t="shared" si="8"/>
        <v>-1.0364972768961422E-16</v>
      </c>
      <c r="L32" s="120">
        <f t="shared" si="8"/>
        <v>-7.7249404789592191E-17</v>
      </c>
      <c r="M32" s="120">
        <f t="shared" si="8"/>
        <v>7.1828393927164669E-17</v>
      </c>
      <c r="N32" s="120">
        <f t="shared" si="8"/>
        <v>5.3410509522067162E-17</v>
      </c>
      <c r="O32" s="120">
        <f t="shared" si="8"/>
        <v>-4.58346468418247E-17</v>
      </c>
    </row>
    <row r="33" spans="1:9" ht="15" thickTop="1" x14ac:dyDescent="0.2"/>
    <row r="35" spans="1:9" x14ac:dyDescent="0.2">
      <c r="C35" s="116"/>
      <c r="D35" s="116"/>
      <c r="E35" s="116"/>
      <c r="F35" s="116"/>
      <c r="G35" s="116"/>
      <c r="H35" s="116"/>
      <c r="I35" s="116"/>
    </row>
    <row r="36" spans="1:9" x14ac:dyDescent="0.2">
      <c r="A36" s="115"/>
      <c r="C36" s="116"/>
      <c r="D36" s="116"/>
      <c r="E36" s="116"/>
      <c r="F36" s="116"/>
      <c r="G36" s="116"/>
      <c r="H36" s="116"/>
      <c r="I36" s="116"/>
    </row>
    <row r="37" spans="1:9" x14ac:dyDescent="0.2">
      <c r="A37" s="115"/>
      <c r="C37" s="116"/>
      <c r="D37" s="116"/>
      <c r="E37" s="116"/>
      <c r="F37" s="116"/>
      <c r="G37" s="116"/>
      <c r="H37" s="116"/>
      <c r="I37" s="116"/>
    </row>
    <row r="38" spans="1:9" x14ac:dyDescent="0.2">
      <c r="A38" s="115"/>
      <c r="C38" s="116"/>
      <c r="D38" s="116"/>
      <c r="E38" s="116"/>
      <c r="F38" s="116"/>
      <c r="G38" s="116"/>
      <c r="H38" s="116"/>
      <c r="I38" s="116"/>
    </row>
    <row r="39" spans="1:9" x14ac:dyDescent="0.2">
      <c r="A39" s="115"/>
      <c r="C39" s="116"/>
      <c r="D39" s="116"/>
      <c r="E39" s="116"/>
      <c r="F39" s="116"/>
      <c r="G39" s="116"/>
      <c r="H39" s="116"/>
      <c r="I39" s="116"/>
    </row>
    <row r="40" spans="1:9" x14ac:dyDescent="0.2">
      <c r="A40" s="115"/>
      <c r="C40" s="116"/>
      <c r="D40" s="116"/>
      <c r="E40" s="116"/>
      <c r="F40" s="116"/>
      <c r="G40" s="116"/>
      <c r="H40" s="116"/>
      <c r="I40" s="116"/>
    </row>
    <row r="41" spans="1:9" x14ac:dyDescent="0.2">
      <c r="C41" s="116"/>
      <c r="D41" s="116"/>
      <c r="E41" s="116"/>
      <c r="F41" s="116"/>
      <c r="G41" s="116"/>
      <c r="H41" s="116"/>
      <c r="I41" s="116"/>
    </row>
    <row r="42" spans="1:9" x14ac:dyDescent="0.2">
      <c r="C42" s="116"/>
      <c r="D42" s="116"/>
      <c r="E42" s="116"/>
      <c r="F42" s="116"/>
      <c r="G42" s="116"/>
      <c r="H42" s="116"/>
      <c r="I42" s="116"/>
    </row>
    <row r="43" spans="1:9" x14ac:dyDescent="0.2">
      <c r="C43" s="116"/>
      <c r="D43" s="116"/>
      <c r="E43" s="116"/>
      <c r="F43" s="116"/>
      <c r="G43" s="116"/>
      <c r="H43" s="116"/>
      <c r="I43" s="116"/>
    </row>
    <row r="44" spans="1:9" x14ac:dyDescent="0.2">
      <c r="C44" s="116"/>
      <c r="D44" s="116"/>
      <c r="E44" s="116"/>
      <c r="F44" s="116"/>
      <c r="G44" s="116"/>
      <c r="H44" s="116"/>
      <c r="I44" s="116"/>
    </row>
    <row r="45" spans="1:9" x14ac:dyDescent="0.2">
      <c r="C45" s="116"/>
      <c r="D45" s="116"/>
      <c r="E45" s="116"/>
      <c r="F45" s="116"/>
      <c r="G45" s="116"/>
      <c r="H45" s="116"/>
      <c r="I45" s="116"/>
    </row>
    <row r="46" spans="1:9" x14ac:dyDescent="0.2">
      <c r="C46" s="116"/>
      <c r="D46" s="116"/>
      <c r="E46" s="116"/>
      <c r="F46" s="116"/>
      <c r="G46" s="116"/>
      <c r="H46" s="116"/>
      <c r="I46" s="116"/>
    </row>
    <row r="47" spans="1:9" x14ac:dyDescent="0.2">
      <c r="C47" s="116"/>
      <c r="D47" s="116"/>
      <c r="E47" s="116"/>
      <c r="F47" s="116"/>
      <c r="G47" s="116"/>
      <c r="H47" s="116"/>
      <c r="I47" s="116"/>
    </row>
    <row r="48" spans="1:9" x14ac:dyDescent="0.2">
      <c r="C48" s="116"/>
      <c r="D48" s="116"/>
      <c r="E48" s="116"/>
      <c r="F48" s="116"/>
      <c r="G48" s="116"/>
      <c r="H48" s="116"/>
      <c r="I48" s="116"/>
    </row>
    <row r="49" spans="3:9" x14ac:dyDescent="0.2">
      <c r="C49" s="116"/>
      <c r="D49" s="116"/>
      <c r="E49" s="116"/>
      <c r="F49" s="116"/>
      <c r="G49" s="116"/>
      <c r="H49" s="116"/>
      <c r="I49" s="116"/>
    </row>
    <row r="50" spans="3:9" x14ac:dyDescent="0.2">
      <c r="C50" s="116"/>
      <c r="D50" s="116"/>
      <c r="E50" s="116"/>
      <c r="F50" s="116"/>
      <c r="G50" s="116"/>
      <c r="H50" s="116"/>
      <c r="I50" s="116"/>
    </row>
    <row r="51" spans="3:9" x14ac:dyDescent="0.2">
      <c r="C51" s="116"/>
      <c r="D51" s="116"/>
      <c r="E51" s="116"/>
      <c r="F51" s="116"/>
      <c r="G51" s="116"/>
      <c r="H51" s="116"/>
      <c r="I51" s="116"/>
    </row>
    <row r="52" spans="3:9" x14ac:dyDescent="0.2">
      <c r="C52" s="222"/>
      <c r="D52" s="222"/>
      <c r="E52" s="222"/>
      <c r="F52" s="222"/>
      <c r="G52" s="222"/>
      <c r="H52" s="222"/>
      <c r="I52" s="222"/>
    </row>
    <row r="53" spans="3:9" x14ac:dyDescent="0.2">
      <c r="C53" s="222"/>
      <c r="D53" s="222"/>
      <c r="E53" s="222"/>
      <c r="F53" s="222"/>
      <c r="G53" s="222"/>
      <c r="H53" s="222"/>
      <c r="I53" s="222"/>
    </row>
    <row r="54" spans="3:9" x14ac:dyDescent="0.2">
      <c r="C54" s="222"/>
      <c r="D54" s="222"/>
      <c r="E54" s="222"/>
      <c r="F54" s="222"/>
      <c r="G54" s="222"/>
      <c r="H54" s="222"/>
      <c r="I54" s="222"/>
    </row>
    <row r="55" spans="3:9" x14ac:dyDescent="0.2">
      <c r="C55" s="222"/>
      <c r="D55" s="222"/>
      <c r="E55" s="222"/>
      <c r="F55" s="222"/>
      <c r="G55" s="222"/>
      <c r="H55" s="222"/>
      <c r="I55" s="222"/>
    </row>
    <row r="56" spans="3:9" x14ac:dyDescent="0.2">
      <c r="C56" s="222"/>
      <c r="D56" s="222"/>
      <c r="E56" s="222"/>
      <c r="F56" s="222"/>
      <c r="G56" s="222"/>
      <c r="H56" s="222"/>
      <c r="I56" s="222"/>
    </row>
    <row r="57" spans="3:9" x14ac:dyDescent="0.2">
      <c r="C57" s="222"/>
      <c r="D57" s="222"/>
      <c r="E57" s="222"/>
      <c r="F57" s="222"/>
      <c r="G57" s="222"/>
      <c r="H57" s="222"/>
      <c r="I57" s="222"/>
    </row>
    <row r="58" spans="3:9" x14ac:dyDescent="0.2">
      <c r="C58" s="222"/>
      <c r="D58" s="222"/>
      <c r="E58" s="222"/>
      <c r="F58" s="222"/>
      <c r="G58" s="222"/>
      <c r="H58" s="222"/>
      <c r="I58" s="222"/>
    </row>
    <row r="59" spans="3:9" x14ac:dyDescent="0.2">
      <c r="C59" s="222"/>
      <c r="D59" s="222"/>
      <c r="E59" s="222"/>
      <c r="F59" s="222"/>
      <c r="G59" s="222"/>
      <c r="H59" s="222"/>
      <c r="I59" s="222"/>
    </row>
    <row r="60" spans="3:9" x14ac:dyDescent="0.2">
      <c r="C60" s="222"/>
      <c r="D60" s="222"/>
      <c r="E60" s="222"/>
      <c r="F60" s="222"/>
      <c r="G60" s="222"/>
      <c r="H60" s="222"/>
      <c r="I60" s="222"/>
    </row>
    <row r="61" spans="3:9" x14ac:dyDescent="0.2">
      <c r="C61" s="222"/>
      <c r="D61" s="222"/>
      <c r="E61" s="222"/>
      <c r="F61" s="222"/>
      <c r="G61" s="222"/>
      <c r="H61" s="222"/>
      <c r="I61" s="222"/>
    </row>
    <row r="62" spans="3:9" x14ac:dyDescent="0.2">
      <c r="C62" s="222"/>
      <c r="D62" s="222"/>
      <c r="E62" s="222"/>
      <c r="F62" s="222"/>
      <c r="G62" s="222"/>
      <c r="H62" s="222"/>
      <c r="I62" s="222"/>
    </row>
    <row r="63" spans="3:9" x14ac:dyDescent="0.2">
      <c r="C63" s="222"/>
      <c r="D63" s="222"/>
      <c r="E63" s="222"/>
      <c r="F63" s="222"/>
      <c r="G63" s="222"/>
      <c r="H63" s="222"/>
      <c r="I63" s="222"/>
    </row>
    <row r="64" spans="3:9" x14ac:dyDescent="0.2">
      <c r="C64" s="222"/>
      <c r="D64" s="222"/>
      <c r="E64" s="222"/>
      <c r="F64" s="222"/>
      <c r="G64" s="222"/>
      <c r="H64" s="222"/>
      <c r="I64" s="222"/>
    </row>
    <row r="65" spans="3:9" x14ac:dyDescent="0.2">
      <c r="C65" s="222"/>
      <c r="D65" s="222"/>
      <c r="E65" s="222"/>
      <c r="F65" s="222"/>
      <c r="G65" s="222"/>
      <c r="H65" s="222"/>
      <c r="I65" s="222"/>
    </row>
    <row r="66" spans="3:9" x14ac:dyDescent="0.2">
      <c r="C66" s="222"/>
      <c r="D66" s="222"/>
      <c r="E66" s="222"/>
      <c r="F66" s="222"/>
      <c r="G66" s="222"/>
      <c r="H66" s="222"/>
      <c r="I66" s="222"/>
    </row>
    <row r="67" spans="3:9" x14ac:dyDescent="0.2">
      <c r="C67" s="222"/>
      <c r="D67" s="222"/>
      <c r="E67" s="222"/>
      <c r="F67" s="222"/>
      <c r="G67" s="222"/>
      <c r="H67" s="222"/>
      <c r="I67" s="222"/>
    </row>
    <row r="68" spans="3:9" x14ac:dyDescent="0.2">
      <c r="C68" s="222"/>
    </row>
    <row r="69" spans="3:9" x14ac:dyDescent="0.2">
      <c r="C69" s="222"/>
    </row>
    <row r="70" spans="3:9" x14ac:dyDescent="0.2">
      <c r="C70" s="222"/>
    </row>
  </sheetData>
  <mergeCells count="1">
    <mergeCell ref="A7:K7"/>
  </mergeCells>
  <phoneticPr fontId="15" type="noConversion"/>
  <conditionalFormatting sqref="J14:O30">
    <cfRule type="cellIs" dxfId="3" priority="11" stopIfTrue="1" operator="greaterThan">
      <formula>0</formula>
    </cfRule>
    <cfRule type="cellIs" dxfId="2" priority="12" stopIfTrue="1" operator="lessThan">
      <formula>0</formula>
    </cfRule>
  </conditionalFormatting>
  <conditionalFormatting sqref="J13">
    <cfRule type="cellIs" dxfId="1" priority="1" stopIfTrue="1" operator="greaterThan">
      <formula>0</formula>
    </cfRule>
    <cfRule type="cellIs" dxfId="0" priority="2" stopIfTrue="1" operator="lessThan">
      <formula>0</formula>
    </cfRule>
  </conditionalFormatting>
  <pageMargins left="0.5" right="0.5" top="1" bottom="1" header="0.5" footer="0.5"/>
  <pageSetup scale="71" orientation="landscape" horizontalDpi="200" verticalDpi="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7"/>
  </sheetPr>
  <dimension ref="A1:T60"/>
  <sheetViews>
    <sheetView showGridLines="0" defaultGridColor="0" colorId="8" zoomScale="75" zoomScaleNormal="75" zoomScaleSheetLayoutView="75" workbookViewId="0"/>
  </sheetViews>
  <sheetFormatPr defaultColWidth="9.140625" defaultRowHeight="15" customHeight="1" x14ac:dyDescent="0.2"/>
  <cols>
    <col min="1" max="1" width="21" style="2" customWidth="1"/>
    <col min="2" max="2" width="14" style="2" bestFit="1" customWidth="1"/>
    <col min="3" max="5" width="8.5703125" style="3" customWidth="1"/>
    <col min="6" max="8" width="7.7109375" style="3" bestFit="1" customWidth="1"/>
    <col min="9" max="9" width="14" style="3" bestFit="1" customWidth="1"/>
    <col min="10" max="10" width="16.140625" style="3" bestFit="1" customWidth="1"/>
    <col min="11" max="11" width="10.140625" style="3" bestFit="1" customWidth="1"/>
    <col min="12" max="12" width="7.42578125" style="2" customWidth="1"/>
    <col min="13" max="13" width="12.7109375" style="2" bestFit="1" customWidth="1"/>
    <col min="14" max="14" width="16" style="2" bestFit="1" customWidth="1"/>
    <col min="15" max="15" width="9.28515625" style="2" bestFit="1" customWidth="1"/>
    <col min="16" max="16" width="2.7109375" style="2" customWidth="1"/>
    <col min="17" max="18" width="11.7109375" style="2" customWidth="1"/>
    <col min="19" max="19" width="2.7109375" style="2" customWidth="1"/>
    <col min="20" max="20" width="14.5703125" style="2" customWidth="1"/>
    <col min="21" max="16384" width="9.140625" style="2"/>
  </cols>
  <sheetData>
    <row r="1" spans="1:20" s="224" customFormat="1" ht="15" customHeight="1" x14ac:dyDescent="0.2">
      <c r="A1" s="224" t="s">
        <v>372</v>
      </c>
      <c r="C1" s="225"/>
      <c r="D1" s="225"/>
      <c r="E1" s="225"/>
      <c r="F1" s="225"/>
      <c r="G1" s="225"/>
      <c r="H1" s="225"/>
      <c r="I1" s="225"/>
      <c r="J1" s="225"/>
      <c r="K1" s="225"/>
    </row>
    <row r="2" spans="1:20" s="224" customFormat="1" ht="15" customHeight="1" x14ac:dyDescent="0.2">
      <c r="A2" s="224" t="s">
        <v>364</v>
      </c>
      <c r="C2" s="225"/>
      <c r="D2" s="225"/>
      <c r="E2" s="225"/>
      <c r="F2" s="225"/>
      <c r="G2" s="225"/>
      <c r="H2" s="225"/>
      <c r="I2" s="225"/>
      <c r="J2" s="225"/>
      <c r="K2" s="225"/>
    </row>
    <row r="3" spans="1:20" s="224" customFormat="1" ht="15" customHeight="1" x14ac:dyDescent="0.2">
      <c r="C3" s="225"/>
      <c r="D3" s="225"/>
      <c r="E3" s="225"/>
      <c r="F3" s="225"/>
      <c r="G3" s="225"/>
      <c r="H3" s="225"/>
      <c r="I3" s="225"/>
      <c r="J3" s="225"/>
      <c r="K3" s="225"/>
    </row>
    <row r="4" spans="1:20" s="17" customFormat="1" ht="20.100000000000001" customHeight="1" x14ac:dyDescent="0.2">
      <c r="A4" s="98" t="s">
        <v>242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</row>
    <row r="5" spans="1:20" s="17" customFormat="1" ht="20.100000000000001" customHeight="1" x14ac:dyDescent="0.2">
      <c r="A5" s="99" t="s">
        <v>241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</row>
    <row r="6" spans="1:20" ht="15" customHeight="1" x14ac:dyDescent="0.2">
      <c r="A6" s="11"/>
    </row>
    <row r="7" spans="1:20" ht="15" customHeight="1" x14ac:dyDescent="0.2">
      <c r="A7" s="16"/>
    </row>
    <row r="8" spans="1:20" ht="15" customHeight="1" x14ac:dyDescent="0.2">
      <c r="A8" s="79"/>
    </row>
    <row r="9" spans="1:20" ht="15" customHeight="1" x14ac:dyDescent="0.2">
      <c r="A9" s="16"/>
    </row>
    <row r="10" spans="1:20" ht="15" customHeight="1" thickBot="1" x14ac:dyDescent="0.25">
      <c r="C10" s="8"/>
      <c r="D10" s="8"/>
      <c r="E10" s="8"/>
      <c r="F10" s="2"/>
      <c r="G10" s="8"/>
      <c r="H10" s="9"/>
      <c r="I10" s="8"/>
      <c r="J10" s="8"/>
      <c r="K10" s="8"/>
    </row>
    <row r="11" spans="1:20" ht="18" customHeight="1" thickBot="1" x14ac:dyDescent="0.25">
      <c r="B11" s="237" t="s">
        <v>217</v>
      </c>
      <c r="C11" s="238"/>
      <c r="D11" s="238"/>
      <c r="E11" s="238"/>
      <c r="F11" s="238"/>
      <c r="G11" s="238"/>
      <c r="H11" s="238"/>
      <c r="I11" s="238"/>
      <c r="J11" s="238"/>
      <c r="K11" s="239"/>
    </row>
    <row r="12" spans="1:20" s="12" customFormat="1" ht="18" customHeight="1" thickBot="1" x14ac:dyDescent="0.25">
      <c r="B12" s="70" t="s">
        <v>108</v>
      </c>
      <c r="C12" s="231" t="s">
        <v>195</v>
      </c>
      <c r="D12" s="232"/>
      <c r="E12" s="233"/>
      <c r="F12" s="234" t="s">
        <v>181</v>
      </c>
      <c r="G12" s="235"/>
      <c r="H12" s="236"/>
      <c r="I12" s="88" t="s">
        <v>108</v>
      </c>
      <c r="J12" s="81" t="s">
        <v>208</v>
      </c>
      <c r="K12" s="85" t="s">
        <v>185</v>
      </c>
    </row>
    <row r="13" spans="1:20" s="12" customFormat="1" ht="18" customHeight="1" thickBot="1" x14ac:dyDescent="0.25">
      <c r="A13" s="12" t="s">
        <v>3</v>
      </c>
      <c r="B13" s="72" t="s">
        <v>180</v>
      </c>
      <c r="C13" s="73" t="s">
        <v>182</v>
      </c>
      <c r="D13" s="74" t="s">
        <v>184</v>
      </c>
      <c r="E13" s="75" t="s">
        <v>183</v>
      </c>
      <c r="F13" s="73" t="s">
        <v>182</v>
      </c>
      <c r="G13" s="74" t="s">
        <v>184</v>
      </c>
      <c r="H13" s="75" t="s">
        <v>183</v>
      </c>
      <c r="I13" s="89" t="s">
        <v>193</v>
      </c>
      <c r="J13" s="82" t="s">
        <v>219</v>
      </c>
      <c r="K13" s="86" t="s">
        <v>186</v>
      </c>
    </row>
    <row r="14" spans="1:20" ht="18" customHeight="1" x14ac:dyDescent="0.2">
      <c r="C14" s="2"/>
      <c r="D14" s="2"/>
      <c r="E14" s="2"/>
      <c r="F14" s="2"/>
      <c r="G14" s="2"/>
      <c r="H14" s="2"/>
      <c r="I14" s="2"/>
      <c r="J14" s="2"/>
    </row>
    <row r="15" spans="1:20" ht="18" customHeight="1" x14ac:dyDescent="0.2">
      <c r="A15" s="2" t="s">
        <v>5</v>
      </c>
      <c r="B15" s="100">
        <f>INDEX('2017 SALES'!$B$8:$Q$42,MATCH($A15,'2017 SALES'!$B$8:$B$42,0),MATCH("KWH SALES",'2017 SALES'!$B$8:$Q$8,0))/1000</f>
        <v>2696313.2859999998</v>
      </c>
      <c r="C15" s="14">
        <v>0</v>
      </c>
      <c r="D15" s="14">
        <v>0.39212000000000102</v>
      </c>
      <c r="E15" s="14">
        <v>0.60788000000000098</v>
      </c>
      <c r="F15" s="14">
        <v>1.0170051802969728</v>
      </c>
      <c r="G15" s="14">
        <v>1.0266921244920639</v>
      </c>
      <c r="H15" s="14">
        <v>1.0486289832939273</v>
      </c>
      <c r="I15" s="10">
        <f t="shared" ref="I15:I31" si="0">(B15*C15*F15)+(B15*D15*G15)+(B15*E15*H15)</f>
        <v>2804238.8935173294</v>
      </c>
      <c r="J15" s="10">
        <f>+I15/8760*1000</f>
        <v>320118.5951503801</v>
      </c>
      <c r="K15" s="77">
        <f t="shared" ref="K15:K31" si="1">+I15/I$42</f>
        <v>2.3551980391844626E-2</v>
      </c>
    </row>
    <row r="16" spans="1:20" ht="18" customHeight="1" x14ac:dyDescent="0.2">
      <c r="A16" s="2" t="s">
        <v>6</v>
      </c>
      <c r="B16" s="100">
        <f>INDEX('2017 SALES'!$B$8:$Q$42,MATCH($A16,'2017 SALES'!$B$8:$B$42,0),MATCH("KWH SALES",'2017 SALES'!$B$8:$Q$8,0))/1000</f>
        <v>101976.406</v>
      </c>
      <c r="C16" s="14">
        <v>0</v>
      </c>
      <c r="D16" s="14">
        <v>1.4280000000000998E-2</v>
      </c>
      <c r="E16" s="14">
        <v>0.98572000000000104</v>
      </c>
      <c r="F16" s="14">
        <v>1.0170051802969728</v>
      </c>
      <c r="G16" s="14">
        <v>1.0266921244920639</v>
      </c>
      <c r="H16" s="14">
        <v>1.0486289832939273</v>
      </c>
      <c r="I16" s="10">
        <f t="shared" si="0"/>
        <v>106903.46998370987</v>
      </c>
      <c r="J16" s="10">
        <f t="shared" ref="J16:J31" si="2">+I16/8760*1000</f>
        <v>12203.592463893821</v>
      </c>
      <c r="K16" s="77">
        <f t="shared" si="1"/>
        <v>8.9785090517678688E-4</v>
      </c>
    </row>
    <row r="17" spans="1:11" ht="18" customHeight="1" x14ac:dyDescent="0.2">
      <c r="A17" s="2" t="s">
        <v>7</v>
      </c>
      <c r="B17" s="100">
        <f>INDEX('2017 SALES'!$B$8:$Q$42,MATCH($A17,'2017 SALES'!$B$8:$B$42,0),MATCH("KWH SALES",'2017 SALES'!$B$8:$Q$8,0))/1000</f>
        <v>1508921.571</v>
      </c>
      <c r="C17" s="14">
        <v>1.0000000000000011</v>
      </c>
      <c r="D17" s="14">
        <v>0</v>
      </c>
      <c r="E17" s="14">
        <v>0</v>
      </c>
      <c r="F17" s="14">
        <v>1.0170051802969728</v>
      </c>
      <c r="G17" s="14">
        <v>1.0266921244920639</v>
      </c>
      <c r="H17" s="14">
        <v>1.0486289832939273</v>
      </c>
      <c r="I17" s="10">
        <f t="shared" si="0"/>
        <v>1534581.0543688482</v>
      </c>
      <c r="J17" s="10">
        <f t="shared" si="2"/>
        <v>175180.48565854432</v>
      </c>
      <c r="K17" s="77">
        <f t="shared" si="1"/>
        <v>1.2888496406544835E-2</v>
      </c>
    </row>
    <row r="18" spans="1:11" ht="18" customHeight="1" x14ac:dyDescent="0.2">
      <c r="A18" s="2" t="s">
        <v>171</v>
      </c>
      <c r="B18" s="100">
        <f>INDEX('2017 SALES'!$B$8:$Q$42,MATCH($A18,'2017 SALES'!$B$8:$B$42,0),MATCH("KWH SALES",'2017 SALES'!$B$8:$Q$8,0))/1000</f>
        <v>5996275.1279999996</v>
      </c>
      <c r="C18" s="14">
        <v>0</v>
      </c>
      <c r="D18" s="14">
        <v>0</v>
      </c>
      <c r="E18" s="14">
        <v>1.0000000000000011</v>
      </c>
      <c r="F18" s="14">
        <v>1.0170051802969728</v>
      </c>
      <c r="G18" s="14">
        <v>1.0266921244920639</v>
      </c>
      <c r="H18" s="14">
        <v>1.0486289832939273</v>
      </c>
      <c r="I18" s="10">
        <f t="shared" si="0"/>
        <v>6287867.8910253104</v>
      </c>
      <c r="J18" s="10">
        <f t="shared" si="2"/>
        <v>717793.13824489852</v>
      </c>
      <c r="K18" s="77">
        <f t="shared" si="1"/>
        <v>5.2809959100947892E-2</v>
      </c>
    </row>
    <row r="19" spans="1:11" ht="18" customHeight="1" x14ac:dyDescent="0.2">
      <c r="A19" s="2" t="s">
        <v>12</v>
      </c>
      <c r="B19" s="100">
        <f>INDEX('2017 SALES'!$B$8:$Q$42,MATCH($A19,'2017 SALES'!$B$8:$B$42,0),MATCH("KWH SALES",'2017 SALES'!$B$8:$Q$8,0))/1000</f>
        <v>70241.817999999999</v>
      </c>
      <c r="C19" s="14">
        <v>0</v>
      </c>
      <c r="D19" s="14">
        <v>0</v>
      </c>
      <c r="E19" s="14">
        <v>1.0000000000000011</v>
      </c>
      <c r="F19" s="14">
        <v>1.0170051802969728</v>
      </c>
      <c r="G19" s="14">
        <v>1.0266921244920639</v>
      </c>
      <c r="H19" s="14">
        <v>1.0486289832939273</v>
      </c>
      <c r="I19" s="10">
        <f t="shared" si="0"/>
        <v>73657.606194057153</v>
      </c>
      <c r="J19" s="10">
        <f t="shared" si="2"/>
        <v>8408.4025335681672</v>
      </c>
      <c r="K19" s="77">
        <f t="shared" si="1"/>
        <v>6.1862864137681459E-4</v>
      </c>
    </row>
    <row r="20" spans="1:11" ht="18" customHeight="1" x14ac:dyDescent="0.2">
      <c r="A20" s="2" t="s">
        <v>170</v>
      </c>
      <c r="B20" s="100">
        <f>INDEX('2017 SALES'!$B$8:$Q$42,MATCH($A20,'2017 SALES'!$B$8:$B$42,0),MATCH("KWH SALES",'2017 SALES'!$B$8:$Q$8,0))/1000</f>
        <v>25944232.965</v>
      </c>
      <c r="C20" s="14">
        <v>0</v>
      </c>
      <c r="D20" s="14">
        <v>2.8800000000010002E-3</v>
      </c>
      <c r="E20" s="14">
        <v>0.99712000000000101</v>
      </c>
      <c r="F20" s="14">
        <v>1.0170051802969728</v>
      </c>
      <c r="G20" s="14">
        <v>1.0266921244920639</v>
      </c>
      <c r="H20" s="14">
        <v>1.0486289832939273</v>
      </c>
      <c r="I20" s="10">
        <f t="shared" si="0"/>
        <v>27204235.527700003</v>
      </c>
      <c r="J20" s="10">
        <f t="shared" si="2"/>
        <v>3105506.3387785391</v>
      </c>
      <c r="K20" s="77">
        <f t="shared" si="1"/>
        <v>0.22848039915738869</v>
      </c>
    </row>
    <row r="21" spans="1:11" ht="18" customHeight="1" x14ac:dyDescent="0.2">
      <c r="A21" s="2" t="s">
        <v>172</v>
      </c>
      <c r="B21" s="100">
        <f>INDEX('2017 SALES'!$B$8:$Q$42,MATCH($A21,'2017 SALES'!$B$8:$B$42,0),MATCH("KWH SALES",'2017 SALES'!$B$8:$Q$8,0))/1000</f>
        <v>10554686.881999999</v>
      </c>
      <c r="C21" s="14">
        <v>0</v>
      </c>
      <c r="D21" s="14">
        <v>3.9350000000001002E-2</v>
      </c>
      <c r="E21" s="14">
        <v>0.960650000000001</v>
      </c>
      <c r="F21" s="14">
        <v>1.0170051802969728</v>
      </c>
      <c r="G21" s="14">
        <v>1.0266921244920639</v>
      </c>
      <c r="H21" s="14">
        <v>1.0486289832939273</v>
      </c>
      <c r="I21" s="10">
        <f t="shared" si="0"/>
        <v>11058839.605863588</v>
      </c>
      <c r="J21" s="10">
        <f t="shared" si="2"/>
        <v>1262424.6125415054</v>
      </c>
      <c r="K21" s="77">
        <f t="shared" si="1"/>
        <v>9.2879951902801183E-2</v>
      </c>
    </row>
    <row r="22" spans="1:11" ht="18" customHeight="1" x14ac:dyDescent="0.2">
      <c r="A22" s="2" t="s">
        <v>174</v>
      </c>
      <c r="B22" s="100">
        <f>INDEX('2017 SALES'!$B$8:$Q$42,MATCH($A22,'2017 SALES'!$B$8:$B$42,0),MATCH("KWH SALES",'2017 SALES'!$B$8:$Q$8,0))/1000</f>
        <v>2526124.898</v>
      </c>
      <c r="C22" s="14">
        <v>0</v>
      </c>
      <c r="D22" s="14">
        <v>0.325210000000001</v>
      </c>
      <c r="E22" s="14">
        <v>0.674790000000001</v>
      </c>
      <c r="F22" s="14">
        <v>1.0170051802969728</v>
      </c>
      <c r="G22" s="14">
        <v>1.0266921244920639</v>
      </c>
      <c r="H22" s="14">
        <v>1.0486289832939273</v>
      </c>
      <c r="I22" s="10">
        <f t="shared" si="0"/>
        <v>2630946.1915706568</v>
      </c>
      <c r="J22" s="10">
        <f t="shared" si="2"/>
        <v>300336.32323865948</v>
      </c>
      <c r="K22" s="77">
        <f t="shared" si="1"/>
        <v>2.2096545789702521E-2</v>
      </c>
    </row>
    <row r="23" spans="1:11" ht="18" customHeight="1" x14ac:dyDescent="0.2">
      <c r="A23" s="2" t="s">
        <v>175</v>
      </c>
      <c r="B23" s="100">
        <f>INDEX('2017 SALES'!$B$8:$Q$42,MATCH($A23,'2017 SALES'!$B$8:$B$42,0),MATCH("KWH SALES",'2017 SALES'!$B$8:$Q$8,0))/1000</f>
        <v>173041.71400000001</v>
      </c>
      <c r="C23" s="14">
        <v>1.0000000000000011</v>
      </c>
      <c r="D23" s="14">
        <v>0</v>
      </c>
      <c r="E23" s="14">
        <v>0</v>
      </c>
      <c r="F23" s="14">
        <v>1.0170051802969728</v>
      </c>
      <c r="G23" s="14">
        <v>1.0266921244920639</v>
      </c>
      <c r="H23" s="14">
        <v>1.0486289832939273</v>
      </c>
      <c r="I23" s="10">
        <f t="shared" si="0"/>
        <v>175984.31954546741</v>
      </c>
      <c r="J23" s="10">
        <f t="shared" si="2"/>
        <v>20089.534194688062</v>
      </c>
      <c r="K23" s="77">
        <f t="shared" si="1"/>
        <v>1.4780407092949957E-3</v>
      </c>
    </row>
    <row r="24" spans="1:11" ht="18" customHeight="1" x14ac:dyDescent="0.2">
      <c r="A24" s="2" t="s">
        <v>20</v>
      </c>
      <c r="B24" s="100">
        <f>INDEX('2017 SALES'!$B$8:$Q$42,MATCH($A24,'2017 SALES'!$B$8:$B$42,0),MATCH("KWH SALES",'2017 SALES'!$B$8:$Q$8,0))/1000</f>
        <v>91208.296000000002</v>
      </c>
      <c r="C24" s="14">
        <v>0</v>
      </c>
      <c r="D24" s="14">
        <v>1.0000000000000011</v>
      </c>
      <c r="E24" s="14">
        <v>0</v>
      </c>
      <c r="F24" s="14">
        <v>1.0170051802969728</v>
      </c>
      <c r="G24" s="14">
        <v>1.0266921244920639</v>
      </c>
      <c r="H24" s="14">
        <v>1.0486289832939273</v>
      </c>
      <c r="I24" s="10">
        <f t="shared" si="0"/>
        <v>93642.839191541119</v>
      </c>
      <c r="J24" s="10">
        <f t="shared" si="2"/>
        <v>10689.821825518393</v>
      </c>
      <c r="K24" s="77">
        <f t="shared" si="1"/>
        <v>7.864787545648549E-4</v>
      </c>
    </row>
    <row r="25" spans="1:11" ht="18" customHeight="1" x14ac:dyDescent="0.2">
      <c r="A25" s="2" t="s">
        <v>21</v>
      </c>
      <c r="B25" s="100">
        <f>INDEX('2017 SALES'!$B$8:$Q$42,MATCH($A25,'2017 SALES'!$B$8:$B$42,0),MATCH("KWH SALES",'2017 SALES'!$B$8:$Q$8,0))/1000</f>
        <v>97899.983999999997</v>
      </c>
      <c r="C25" s="14">
        <v>0</v>
      </c>
      <c r="D25" s="14">
        <v>0</v>
      </c>
      <c r="E25" s="14">
        <v>1.0000000000000011</v>
      </c>
      <c r="F25" s="14">
        <v>1.0170051802969728</v>
      </c>
      <c r="G25" s="14">
        <v>1.0266921244920639</v>
      </c>
      <c r="H25" s="14">
        <v>1.0486289832939273</v>
      </c>
      <c r="I25" s="10">
        <f t="shared" si="0"/>
        <v>102660.76068641186</v>
      </c>
      <c r="J25" s="10">
        <f t="shared" si="2"/>
        <v>11719.264918540166</v>
      </c>
      <c r="K25" s="77">
        <f t="shared" si="1"/>
        <v>8.6221763355743284E-4</v>
      </c>
    </row>
    <row r="26" spans="1:11" ht="18" customHeight="1" x14ac:dyDescent="0.2">
      <c r="A26" s="2" t="s">
        <v>22</v>
      </c>
      <c r="B26" s="100">
        <f>INDEX('2017 SALES'!$B$8:$Q$42,MATCH($A26,'2017 SALES'!$B$8:$B$42,0),MATCH("KWH SALES",'2017 SALES'!$B$8:$Q$8,0))/1000</f>
        <v>10793.313</v>
      </c>
      <c r="C26" s="14">
        <v>0</v>
      </c>
      <c r="D26" s="14">
        <v>0.25134000000000101</v>
      </c>
      <c r="E26" s="14">
        <v>0.74866000000000099</v>
      </c>
      <c r="F26" s="14">
        <v>1.0170051802969728</v>
      </c>
      <c r="G26" s="14">
        <v>1.0266921244920639</v>
      </c>
      <c r="H26" s="14">
        <v>1.0486289832939273</v>
      </c>
      <c r="I26" s="10">
        <f t="shared" si="0"/>
        <v>11258.670718088219</v>
      </c>
      <c r="J26" s="10">
        <f t="shared" si="2"/>
        <v>1285.236383343404</v>
      </c>
      <c r="K26" s="77">
        <f t="shared" si="1"/>
        <v>9.4558274833017657E-5</v>
      </c>
    </row>
    <row r="27" spans="1:11" ht="18" customHeight="1" x14ac:dyDescent="0.2">
      <c r="A27" s="2" t="s">
        <v>169</v>
      </c>
      <c r="B27" s="100">
        <f>INDEX('2017 SALES'!$B$8:$Q$42,MATCH($A27,'2017 SALES'!$B$8:$B$42,0),MATCH("KWH SALES",'2017 SALES'!$B$8:$Q$8,0))/1000</f>
        <v>57375392.961000003</v>
      </c>
      <c r="C27" s="14">
        <v>0</v>
      </c>
      <c r="D27" s="14">
        <v>0</v>
      </c>
      <c r="E27" s="14">
        <v>1.0000000000000011</v>
      </c>
      <c r="F27" s="14">
        <v>1.0170051802969728</v>
      </c>
      <c r="G27" s="14">
        <v>1.0266921244920639</v>
      </c>
      <c r="H27" s="14">
        <v>1.0486289832939273</v>
      </c>
      <c r="I27" s="10">
        <f t="shared" si="0"/>
        <v>60165499.986783057</v>
      </c>
      <c r="J27" s="10">
        <f t="shared" si="2"/>
        <v>6868207.7610482937</v>
      </c>
      <c r="K27" s="77">
        <f t="shared" si="1"/>
        <v>0.50531239661143579</v>
      </c>
    </row>
    <row r="28" spans="1:11" ht="18" customHeight="1" x14ac:dyDescent="0.2">
      <c r="A28" s="2" t="s">
        <v>27</v>
      </c>
      <c r="B28" s="100">
        <f>INDEX('2017 SALES'!$B$8:$Q$42,MATCH($A28,'2017 SALES'!$B$8:$B$42,0),MATCH("KWH SALES",'2017 SALES'!$B$8:$Q$8,0))/1000</f>
        <v>561284.64500000002</v>
      </c>
      <c r="C28" s="14">
        <v>0</v>
      </c>
      <c r="D28" s="14">
        <v>0</v>
      </c>
      <c r="E28" s="14">
        <v>1.0000000000000011</v>
      </c>
      <c r="F28" s="14">
        <v>1.0170051802969728</v>
      </c>
      <c r="G28" s="14">
        <v>1.0266921244920639</v>
      </c>
      <c r="H28" s="14">
        <v>1.0486289832939273</v>
      </c>
      <c r="I28" s="10">
        <f t="shared" si="0"/>
        <v>588579.34662484354</v>
      </c>
      <c r="J28" s="10">
        <f t="shared" si="2"/>
        <v>67189.423130689902</v>
      </c>
      <c r="K28" s="77">
        <f t="shared" si="1"/>
        <v>4.943305387711032E-3</v>
      </c>
    </row>
    <row r="29" spans="1:11" ht="18" customHeight="1" x14ac:dyDescent="0.2">
      <c r="A29" s="2" t="s">
        <v>28</v>
      </c>
      <c r="B29" s="100">
        <f>INDEX('2017 SALES'!$B$8:$Q$42,MATCH($A29,'2017 SALES'!$B$8:$B$42,0),MATCH("KWH SALES",'2017 SALES'!$B$8:$Q$8,0))/1000</f>
        <v>32762.626</v>
      </c>
      <c r="C29" s="14">
        <v>0</v>
      </c>
      <c r="D29" s="14">
        <v>0</v>
      </c>
      <c r="E29" s="14">
        <v>1.0000000000000011</v>
      </c>
      <c r="F29" s="14">
        <v>1.0170051802969728</v>
      </c>
      <c r="G29" s="14">
        <v>1.0266921244920639</v>
      </c>
      <c r="H29" s="14">
        <v>1.0486289832939273</v>
      </c>
      <c r="I29" s="10">
        <f t="shared" si="0"/>
        <v>34355.839192419226</v>
      </c>
      <c r="J29" s="10">
        <f t="shared" si="2"/>
        <v>3921.8994511894093</v>
      </c>
      <c r="K29" s="77">
        <f t="shared" si="1"/>
        <v>2.8854462181369939E-4</v>
      </c>
    </row>
    <row r="30" spans="1:11" ht="18" customHeight="1" x14ac:dyDescent="0.2">
      <c r="A30" s="2" t="s">
        <v>29</v>
      </c>
      <c r="B30" s="100">
        <f>INDEX('2017 SALES'!$B$8:$Q$42,MATCH($A30,'2017 SALES'!$B$8:$B$42,0),MATCH("KWH SALES",'2017 SALES'!$B$8:$Q$8,0))/1000</f>
        <v>11856.925999999999</v>
      </c>
      <c r="C30" s="14">
        <v>0</v>
      </c>
      <c r="D30" s="14">
        <v>1.0000000000000011</v>
      </c>
      <c r="E30" s="14">
        <v>0</v>
      </c>
      <c r="F30" s="14">
        <v>1.0170051802969728</v>
      </c>
      <c r="G30" s="14">
        <v>1.0266921244920639</v>
      </c>
      <c r="H30" s="14">
        <v>1.0486289832939273</v>
      </c>
      <c r="I30" s="10">
        <f t="shared" si="0"/>
        <v>12173.412544885203</v>
      </c>
      <c r="J30" s="10">
        <f t="shared" si="2"/>
        <v>1389.6589663110963</v>
      </c>
      <c r="K30" s="77">
        <f t="shared" si="1"/>
        <v>1.0224092327574726E-4</v>
      </c>
    </row>
    <row r="31" spans="1:11" ht="18" customHeight="1" x14ac:dyDescent="0.2">
      <c r="A31" s="2" t="s">
        <v>30</v>
      </c>
      <c r="B31" s="100">
        <f>INDEX('2017 SALES'!$B$8:$Q$42,MATCH($A31,'2017 SALES'!$B$8:$B$42,0),MATCH("KWH SALES",'2017 SALES'!$B$8:$Q$8,0))/1000</f>
        <v>89667.754000000001</v>
      </c>
      <c r="C31" s="14">
        <v>1.0000000000000011</v>
      </c>
      <c r="D31" s="14">
        <v>0</v>
      </c>
      <c r="E31" s="14">
        <v>0</v>
      </c>
      <c r="F31" s="14">
        <v>1.0170051802969728</v>
      </c>
      <c r="G31" s="14">
        <v>1.0266921244920639</v>
      </c>
      <c r="H31" s="14">
        <v>1.0486289832939273</v>
      </c>
      <c r="I31" s="10">
        <f t="shared" si="0"/>
        <v>91192.570323594715</v>
      </c>
      <c r="J31" s="10">
        <f t="shared" si="2"/>
        <v>10410.110767533643</v>
      </c>
      <c r="K31" s="77">
        <f t="shared" si="1"/>
        <v>7.6589966464993059E-4</v>
      </c>
    </row>
    <row r="32" spans="1:11" ht="18" customHeight="1" x14ac:dyDescent="0.2">
      <c r="A32" s="2" t="s">
        <v>245</v>
      </c>
      <c r="B32" s="100">
        <f>INDEX('2017 SALES'!$B$8:$Q$42,MATCH($A32,'2017 SALES'!$B$8:$B$42,0),MATCH("KWH SALES",'2017 SALES'!$B$8:$Q$8,0))/1000</f>
        <v>2927.1239982525703</v>
      </c>
      <c r="C32" s="14">
        <v>1</v>
      </c>
      <c r="D32" s="14">
        <v>0</v>
      </c>
      <c r="E32" s="14">
        <v>0</v>
      </c>
      <c r="F32" s="14">
        <v>1.0170051802969728</v>
      </c>
      <c r="G32" s="14">
        <v>1.0266921244920639</v>
      </c>
      <c r="H32" s="14">
        <v>1.0486289832939273</v>
      </c>
      <c r="I32" s="10">
        <f t="shared" ref="I32:I40" si="3">(B32*C32*F32)+(B32*D32*G32)+(B32*E32*H32)</f>
        <v>2976.9002695944514</v>
      </c>
      <c r="J32" s="10">
        <f t="shared" ref="J32:J40" si="4">+I32/8760*1000</f>
        <v>339.82879789890995</v>
      </c>
      <c r="K32" s="77">
        <f t="shared" ref="K32:K40" si="5">+I32/I$42</f>
        <v>2.5002112673084295E-5</v>
      </c>
    </row>
    <row r="33" spans="1:11" ht="18" customHeight="1" x14ac:dyDescent="0.2">
      <c r="A33" s="2" t="s">
        <v>246</v>
      </c>
      <c r="B33" s="100">
        <f>INDEX('2017 SALES'!$B$8:$Q$42,MATCH($A33,'2017 SALES'!$B$8:$B$42,0),MATCH("KWH SALES",'2017 SALES'!$B$8:$Q$8,0))/1000</f>
        <v>814173.74826923327</v>
      </c>
      <c r="C33" s="14">
        <v>1</v>
      </c>
      <c r="D33" s="14">
        <v>0</v>
      </c>
      <c r="E33" s="14">
        <v>0</v>
      </c>
      <c r="F33" s="14">
        <v>1.0170051802969728</v>
      </c>
      <c r="G33" s="14">
        <v>1.0266921244920639</v>
      </c>
      <c r="H33" s="14">
        <v>1.0486289832939273</v>
      </c>
      <c r="I33" s="10">
        <f t="shared" si="3"/>
        <v>828018.9196516138</v>
      </c>
      <c r="J33" s="10">
        <f t="shared" si="4"/>
        <v>94522.707722786959</v>
      </c>
      <c r="K33" s="77">
        <f t="shared" si="5"/>
        <v>6.954288168812414E-3</v>
      </c>
    </row>
    <row r="34" spans="1:11" ht="18" customHeight="1" x14ac:dyDescent="0.2">
      <c r="A34" s="2" t="s">
        <v>247</v>
      </c>
      <c r="B34" s="100">
        <f>INDEX('2017 SALES'!$B$8:$Q$42,MATCH($A34,'2017 SALES'!$B$8:$B$42,0),MATCH("KWH SALES",'2017 SALES'!$B$8:$Q$8,0))/1000</f>
        <v>168</v>
      </c>
      <c r="C34" s="14">
        <v>1</v>
      </c>
      <c r="D34" s="14">
        <v>0</v>
      </c>
      <c r="E34" s="14">
        <v>0</v>
      </c>
      <c r="F34" s="14">
        <v>1.0170051802969728</v>
      </c>
      <c r="G34" s="14">
        <v>1.0266921244920639</v>
      </c>
      <c r="H34" s="14">
        <v>1.0486289832939273</v>
      </c>
      <c r="I34" s="10">
        <f t="shared" si="3"/>
        <v>170.85687028989145</v>
      </c>
      <c r="J34" s="10">
        <f t="shared" si="4"/>
        <v>19.504208937202222</v>
      </c>
      <c r="K34" s="77">
        <f t="shared" si="5"/>
        <v>1.4349767661314254E-6</v>
      </c>
    </row>
    <row r="35" spans="1:11" ht="18" customHeight="1" x14ac:dyDescent="0.2">
      <c r="A35" s="2" t="s">
        <v>34</v>
      </c>
      <c r="B35" s="100">
        <f>INDEX('2017 SALES'!$B$8:$Q$42,MATCH($A35,'2017 SALES'!$B$8:$B$42,0),MATCH("KWH SALES",'2017 SALES'!$B$8:$Q$8,0))/1000</f>
        <v>4025200.602</v>
      </c>
      <c r="C35" s="14">
        <v>1</v>
      </c>
      <c r="D35" s="14">
        <v>0</v>
      </c>
      <c r="E35" s="14">
        <v>0</v>
      </c>
      <c r="F35" s="14">
        <v>1.0170051802969728</v>
      </c>
      <c r="G35" s="14">
        <v>1.0266921244920639</v>
      </c>
      <c r="H35" s="14">
        <v>1.0486289832939273</v>
      </c>
      <c r="I35" s="10">
        <f t="shared" si="3"/>
        <v>4093649.8639684934</v>
      </c>
      <c r="J35" s="10">
        <f t="shared" si="4"/>
        <v>467311.62830690562</v>
      </c>
      <c r="K35" s="77">
        <f t="shared" si="5"/>
        <v>3.438136513623944E-2</v>
      </c>
    </row>
    <row r="36" spans="1:11" ht="18" customHeight="1" x14ac:dyDescent="0.2">
      <c r="A36" s="2" t="s">
        <v>248</v>
      </c>
      <c r="B36" s="100">
        <f>INDEX('2017 SALES'!$B$8:$Q$42,MATCH($A36,'2017 SALES'!$B$8:$B$42,0),MATCH("KWH SALES",'2017 SALES'!$B$8:$Q$8,0))/1000</f>
        <v>18960</v>
      </c>
      <c r="C36" s="14">
        <v>1</v>
      </c>
      <c r="D36" s="14">
        <v>0</v>
      </c>
      <c r="E36" s="14">
        <v>0</v>
      </c>
      <c r="F36" s="14">
        <v>1.0170051802969728</v>
      </c>
      <c r="G36" s="14">
        <v>1.0266921244920639</v>
      </c>
      <c r="H36" s="14">
        <v>1.0486289832939273</v>
      </c>
      <c r="I36" s="10">
        <f t="shared" si="3"/>
        <v>19282.418218430605</v>
      </c>
      <c r="J36" s="10">
        <f t="shared" si="4"/>
        <v>2201.1892943413932</v>
      </c>
      <c r="K36" s="77">
        <f t="shared" si="5"/>
        <v>1.6194737789197513E-4</v>
      </c>
    </row>
    <row r="37" spans="1:11" ht="18" customHeight="1" x14ac:dyDescent="0.2">
      <c r="A37" s="2" t="s">
        <v>249</v>
      </c>
      <c r="B37" s="100">
        <f>INDEX('2017 SALES'!$B$8:$Q$42,MATCH($A37,'2017 SALES'!$B$8:$B$42,0),MATCH("KWH SALES",'2017 SALES'!$B$8:$Q$8,0))/1000</f>
        <v>152</v>
      </c>
      <c r="C37" s="14">
        <v>1</v>
      </c>
      <c r="D37" s="14">
        <v>0</v>
      </c>
      <c r="E37" s="14">
        <v>0</v>
      </c>
      <c r="F37" s="14">
        <v>1.0170051802969728</v>
      </c>
      <c r="G37" s="14">
        <v>1.0266921244920639</v>
      </c>
      <c r="H37" s="14">
        <v>1.0486289832939273</v>
      </c>
      <c r="I37" s="10">
        <f t="shared" si="3"/>
        <v>154.58478740513988</v>
      </c>
      <c r="J37" s="10">
        <f t="shared" si="4"/>
        <v>17.646665228897248</v>
      </c>
      <c r="K37" s="77">
        <f t="shared" si="5"/>
        <v>1.2983123122141468E-6</v>
      </c>
    </row>
    <row r="38" spans="1:11" ht="18" customHeight="1" x14ac:dyDescent="0.2">
      <c r="A38" s="2" t="s">
        <v>33</v>
      </c>
      <c r="B38" s="100">
        <f>INDEX('2017 SALES'!$B$8:$Q$42,MATCH($A38,'2017 SALES'!$B$8:$B$42,0),MATCH("KWH SALES",'2017 SALES'!$B$8:$Q$8,0))/1000</f>
        <v>1102340</v>
      </c>
      <c r="C38" s="14">
        <v>1</v>
      </c>
      <c r="D38" s="14">
        <v>0</v>
      </c>
      <c r="E38" s="14">
        <v>0</v>
      </c>
      <c r="F38" s="14">
        <v>1.0170051802969728</v>
      </c>
      <c r="G38" s="14">
        <v>1.0266921244920639</v>
      </c>
      <c r="H38" s="14">
        <v>1.0486289832939273</v>
      </c>
      <c r="I38" s="10">
        <f t="shared" si="3"/>
        <v>1121085.490448565</v>
      </c>
      <c r="J38" s="10">
        <f t="shared" si="4"/>
        <v>127977.79571330651</v>
      </c>
      <c r="K38" s="77">
        <f t="shared" si="5"/>
        <v>9.415668383198305E-3</v>
      </c>
    </row>
    <row r="39" spans="1:11" ht="18" customHeight="1" x14ac:dyDescent="0.2">
      <c r="A39" s="2" t="s">
        <v>250</v>
      </c>
      <c r="B39" s="100">
        <f>INDEX('2017 SALES'!$B$8:$Q$42,MATCH($A39,'2017 SALES'!$B$8:$B$42,0),MATCH("KWH SALES",'2017 SALES'!$B$8:$Q$8,0))/1000</f>
        <v>4479.0422992308404</v>
      </c>
      <c r="C39" s="14">
        <v>1</v>
      </c>
      <c r="D39" s="14">
        <v>0</v>
      </c>
      <c r="E39" s="14">
        <v>0</v>
      </c>
      <c r="F39" s="14">
        <v>1.0170051802969728</v>
      </c>
      <c r="G39" s="14">
        <v>1.0266921244920639</v>
      </c>
      <c r="H39" s="14">
        <v>1.0486289832939273</v>
      </c>
      <c r="I39" s="10">
        <f t="shared" si="3"/>
        <v>4555.2092210870287</v>
      </c>
      <c r="J39" s="10">
        <f t="shared" si="4"/>
        <v>520.00105263550552</v>
      </c>
      <c r="K39" s="77">
        <f t="shared" si="5"/>
        <v>3.8257866868548423E-5</v>
      </c>
    </row>
    <row r="40" spans="1:11" ht="18" customHeight="1" x14ac:dyDescent="0.2">
      <c r="A40" s="2" t="s">
        <v>251</v>
      </c>
      <c r="B40" s="100">
        <f>INDEX('2017 SALES'!$B$8:$Q$42,MATCH($A40,'2017 SALES'!$B$8:$B$42,0),MATCH("KWH SALES",'2017 SALES'!$B$8:$Q$8,0))/1000</f>
        <v>19111.660261500001</v>
      </c>
      <c r="C40" s="14">
        <v>1</v>
      </c>
      <c r="D40" s="14">
        <v>0</v>
      </c>
      <c r="E40" s="14">
        <v>0</v>
      </c>
      <c r="F40" s="14">
        <v>1.0170051802969728</v>
      </c>
      <c r="G40" s="14">
        <v>1.0266921244920639</v>
      </c>
      <c r="H40" s="14">
        <v>1.0486289832939273</v>
      </c>
      <c r="I40" s="10">
        <f t="shared" si="3"/>
        <v>19436.657490021298</v>
      </c>
      <c r="J40" s="10">
        <f t="shared" si="4"/>
        <v>2218.7965171257188</v>
      </c>
      <c r="K40" s="77">
        <f t="shared" si="5"/>
        <v>1.6324278831815321E-4</v>
      </c>
    </row>
    <row r="41" spans="1:11" ht="18" customHeight="1" x14ac:dyDescent="0.2">
      <c r="B41" s="10"/>
      <c r="C41" s="14"/>
      <c r="D41" s="14"/>
      <c r="E41" s="14"/>
      <c r="F41" s="14"/>
      <c r="G41" s="14"/>
      <c r="H41" s="14"/>
      <c r="I41" s="10"/>
      <c r="J41" s="10"/>
      <c r="K41" s="77"/>
    </row>
    <row r="42" spans="1:11" ht="18" customHeight="1" thickBot="1" x14ac:dyDescent="0.25">
      <c r="A42" s="2" t="s">
        <v>244</v>
      </c>
      <c r="B42" s="13">
        <f>SUM(B15:B41)</f>
        <v>113830193.3498282</v>
      </c>
      <c r="C42" s="14"/>
      <c r="D42" s="14"/>
      <c r="E42" s="14"/>
      <c r="F42" s="14"/>
      <c r="G42" s="14"/>
      <c r="H42" s="14"/>
      <c r="I42" s="13">
        <f>SUM(I15:I41)</f>
        <v>119065948.8867593</v>
      </c>
      <c r="J42" s="13">
        <f>SUM(J15:J41)</f>
        <v>13592003.297575261</v>
      </c>
      <c r="K42" s="78">
        <f>SUM(K15:K41)</f>
        <v>0.99999999999999989</v>
      </c>
    </row>
    <row r="43" spans="1:11" ht="15" customHeight="1" thickTop="1" x14ac:dyDescent="0.2">
      <c r="E43" s="14"/>
      <c r="F43" s="14"/>
      <c r="H43" s="14"/>
      <c r="I43" s="14"/>
      <c r="J43" s="14"/>
      <c r="K43" s="14"/>
    </row>
    <row r="44" spans="1:11" ht="15" customHeight="1" x14ac:dyDescent="0.2">
      <c r="B44" s="10"/>
      <c r="E44" s="14"/>
      <c r="F44" s="14"/>
      <c r="H44" s="14"/>
      <c r="I44" s="14"/>
      <c r="J44" s="14"/>
      <c r="K44" s="14"/>
    </row>
    <row r="45" spans="1:11" ht="15" customHeight="1" x14ac:dyDescent="0.2">
      <c r="E45" s="14"/>
      <c r="F45" s="14"/>
      <c r="H45" s="14"/>
      <c r="I45" s="14"/>
      <c r="J45" s="14"/>
      <c r="K45" s="14"/>
    </row>
    <row r="46" spans="1:11" ht="15" customHeight="1" x14ac:dyDescent="0.2">
      <c r="E46" s="14"/>
      <c r="F46" s="14"/>
      <c r="H46" s="14"/>
      <c r="I46" s="14"/>
      <c r="J46" s="14"/>
      <c r="K46" s="14"/>
    </row>
    <row r="47" spans="1:11" ht="15" customHeight="1" x14ac:dyDescent="0.2">
      <c r="E47" s="14"/>
      <c r="F47" s="14"/>
      <c r="H47" s="14"/>
      <c r="I47" s="14"/>
      <c r="J47" s="14"/>
      <c r="K47" s="14"/>
    </row>
    <row r="48" spans="1:11" ht="15" customHeight="1" x14ac:dyDescent="0.2">
      <c r="E48" s="14"/>
      <c r="F48" s="14"/>
      <c r="H48" s="14"/>
      <c r="I48" s="14"/>
      <c r="J48" s="14"/>
      <c r="K48" s="14"/>
    </row>
    <row r="49" spans="1:14" ht="15" customHeight="1" x14ac:dyDescent="0.2">
      <c r="E49" s="14"/>
      <c r="F49" s="14"/>
      <c r="H49" s="14"/>
      <c r="I49" s="14"/>
      <c r="J49" s="14"/>
      <c r="K49" s="14"/>
    </row>
    <row r="50" spans="1:14" ht="15" customHeight="1" x14ac:dyDescent="0.2">
      <c r="E50" s="14"/>
      <c r="F50" s="14"/>
      <c r="H50" s="14"/>
      <c r="I50" s="14"/>
      <c r="J50" s="14"/>
      <c r="K50" s="14"/>
    </row>
    <row r="51" spans="1:14" ht="15" customHeight="1" x14ac:dyDescent="0.2">
      <c r="A51" s="16"/>
      <c r="N51" s="10"/>
    </row>
    <row r="52" spans="1:14" ht="15" customHeight="1" x14ac:dyDescent="0.2">
      <c r="A52" s="16"/>
      <c r="N52" s="10"/>
    </row>
    <row r="53" spans="1:14" ht="15" customHeight="1" x14ac:dyDescent="0.2">
      <c r="A53" s="16"/>
      <c r="N53" s="10"/>
    </row>
    <row r="54" spans="1:14" ht="15" customHeight="1" x14ac:dyDescent="0.2">
      <c r="A54" s="16"/>
      <c r="N54" s="10"/>
    </row>
    <row r="55" spans="1:14" ht="15" customHeight="1" x14ac:dyDescent="0.2">
      <c r="A55" s="16"/>
      <c r="N55" s="10"/>
    </row>
    <row r="56" spans="1:14" ht="15" customHeight="1" x14ac:dyDescent="0.2">
      <c r="A56" s="16"/>
      <c r="N56" s="10"/>
    </row>
    <row r="57" spans="1:14" ht="15" customHeight="1" x14ac:dyDescent="0.2">
      <c r="A57" s="19" t="s">
        <v>176</v>
      </c>
      <c r="C57" s="2"/>
      <c r="H57" s="2"/>
      <c r="I57" s="2"/>
      <c r="J57" s="2"/>
    </row>
    <row r="58" spans="1:14" ht="15" customHeight="1" x14ac:dyDescent="0.2">
      <c r="C58" s="2"/>
      <c r="H58" s="2"/>
      <c r="I58" s="2"/>
      <c r="J58" s="2"/>
    </row>
    <row r="59" spans="1:14" ht="15" customHeight="1" x14ac:dyDescent="0.2">
      <c r="C59" s="2"/>
      <c r="H59" s="2"/>
      <c r="I59" s="2"/>
      <c r="J59" s="2"/>
    </row>
    <row r="60" spans="1:14" ht="15" customHeight="1" x14ac:dyDescent="0.2">
      <c r="C60" s="2"/>
    </row>
  </sheetData>
  <mergeCells count="3">
    <mergeCell ref="C12:E12"/>
    <mergeCell ref="F12:H12"/>
    <mergeCell ref="B11:K11"/>
  </mergeCells>
  <phoneticPr fontId="2" type="noConversion"/>
  <printOptions horizontalCentered="1"/>
  <pageMargins left="0.5" right="0.5" top="0.75" bottom="0.5" header="0" footer="0"/>
  <pageSetup scale="75" pageOrder="overThenDown" orientation="landscape" cellComments="asDisplayed" r:id="rId1"/>
  <headerFooter alignWithMargins="0">
    <oddFooter>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7"/>
  </sheetPr>
  <dimension ref="A1:C39"/>
  <sheetViews>
    <sheetView showGridLines="0" zoomScale="75" zoomScaleNormal="75" workbookViewId="0">
      <selection activeCell="A2" sqref="A2"/>
    </sheetView>
  </sheetViews>
  <sheetFormatPr defaultColWidth="9.140625" defaultRowHeight="12.75" x14ac:dyDescent="0.2"/>
  <cols>
    <col min="1" max="1" width="23.42578125" style="102" bestFit="1" customWidth="1"/>
    <col min="2" max="2" width="12.42578125" style="102" bestFit="1" customWidth="1"/>
    <col min="3" max="3" width="11.42578125" style="102" bestFit="1" customWidth="1"/>
    <col min="4" max="4" width="22.42578125" style="102" bestFit="1" customWidth="1"/>
    <col min="5" max="5" width="10.42578125" style="102" bestFit="1" customWidth="1"/>
    <col min="6" max="16384" width="9.140625" style="102"/>
  </cols>
  <sheetData>
    <row r="1" spans="1:3" s="226" customFormat="1" x14ac:dyDescent="0.2">
      <c r="A1" s="226" t="s">
        <v>373</v>
      </c>
      <c r="B1" s="224"/>
    </row>
    <row r="2" spans="1:3" s="226" customFormat="1" x14ac:dyDescent="0.2">
      <c r="A2" s="226" t="s">
        <v>364</v>
      </c>
      <c r="B2" s="224"/>
    </row>
    <row r="3" spans="1:3" s="226" customFormat="1" x14ac:dyDescent="0.2"/>
    <row r="4" spans="1:3" x14ac:dyDescent="0.2">
      <c r="A4" s="102" t="s">
        <v>241</v>
      </c>
      <c r="B4" s="103">
        <f>+'Total Average Demand'!J42</f>
        <v>13592003.297575261</v>
      </c>
    </row>
    <row r="5" spans="1:3" x14ac:dyDescent="0.2">
      <c r="B5" s="104"/>
    </row>
    <row r="6" spans="1:3" x14ac:dyDescent="0.2">
      <c r="A6" s="102" t="s">
        <v>239</v>
      </c>
      <c r="B6" s="105">
        <f>+C30*1000</f>
        <v>24336040.599945236</v>
      </c>
    </row>
    <row r="8" spans="1:3" x14ac:dyDescent="0.2">
      <c r="A8" s="102" t="s">
        <v>240</v>
      </c>
      <c r="B8" s="106">
        <f>+B4/B6</f>
        <v>0.55851333916684243</v>
      </c>
    </row>
    <row r="13" spans="1:3" x14ac:dyDescent="0.2">
      <c r="B13" s="108">
        <v>2017</v>
      </c>
      <c r="C13" s="108">
        <v>2017</v>
      </c>
    </row>
    <row r="14" spans="1:3" x14ac:dyDescent="0.2">
      <c r="A14" s="94"/>
      <c r="B14" s="95" t="s">
        <v>237</v>
      </c>
      <c r="C14" s="95" t="s">
        <v>239</v>
      </c>
    </row>
    <row r="15" spans="1:3" x14ac:dyDescent="0.2">
      <c r="A15" s="94" t="s">
        <v>225</v>
      </c>
      <c r="B15" s="96">
        <v>8847227.7248073239</v>
      </c>
      <c r="C15" s="97">
        <v>21139.97461594921</v>
      </c>
    </row>
    <row r="16" spans="1:3" x14ac:dyDescent="0.2">
      <c r="A16" s="94" t="s">
        <v>226</v>
      </c>
      <c r="B16" s="96">
        <v>7987296.8638781561</v>
      </c>
      <c r="C16" s="97">
        <v>18379.536838848351</v>
      </c>
    </row>
    <row r="17" spans="1:3" x14ac:dyDescent="0.2">
      <c r="A17" s="94" t="s">
        <v>227</v>
      </c>
      <c r="B17" s="96">
        <v>8977158.7783935312</v>
      </c>
      <c r="C17" s="97">
        <v>18323.89418317092</v>
      </c>
    </row>
    <row r="18" spans="1:3" x14ac:dyDescent="0.2">
      <c r="A18" s="94" t="s">
        <v>228</v>
      </c>
      <c r="B18" s="96">
        <v>9245820.1920002718</v>
      </c>
      <c r="C18" s="97">
        <v>19897.230076392363</v>
      </c>
    </row>
    <row r="19" spans="1:3" x14ac:dyDescent="0.2">
      <c r="A19" s="94" t="s">
        <v>229</v>
      </c>
      <c r="B19" s="96">
        <v>10504682.402446391</v>
      </c>
      <c r="C19" s="97">
        <v>21742.64713215773</v>
      </c>
    </row>
    <row r="20" spans="1:3" x14ac:dyDescent="0.2">
      <c r="A20" s="94" t="s">
        <v>230</v>
      </c>
      <c r="B20" s="96">
        <v>10996325.515224205</v>
      </c>
      <c r="C20" s="97">
        <v>23202.335338855512</v>
      </c>
    </row>
    <row r="21" spans="1:3" ht="12.75" customHeight="1" x14ac:dyDescent="0.2">
      <c r="A21" s="94" t="s">
        <v>231</v>
      </c>
      <c r="B21" s="96">
        <v>11750677.731709536</v>
      </c>
      <c r="C21" s="97">
        <v>23612.700688537156</v>
      </c>
    </row>
    <row r="22" spans="1:3" x14ac:dyDescent="0.2">
      <c r="A22" s="94" t="s">
        <v>232</v>
      </c>
      <c r="B22" s="96">
        <v>11913188.210152347</v>
      </c>
      <c r="C22" s="97">
        <v>24336.040599945238</v>
      </c>
    </row>
    <row r="23" spans="1:3" x14ac:dyDescent="0.2">
      <c r="A23" s="94" t="s">
        <v>233</v>
      </c>
      <c r="B23" s="96">
        <v>10982746.776574139</v>
      </c>
      <c r="C23" s="97">
        <v>22794.33562895891</v>
      </c>
    </row>
    <row r="24" spans="1:3" x14ac:dyDescent="0.2">
      <c r="A24" s="94" t="s">
        <v>234</v>
      </c>
      <c r="B24" s="96">
        <v>10297901.726722648</v>
      </c>
      <c r="C24" s="97">
        <v>21445.001830025427</v>
      </c>
    </row>
    <row r="25" spans="1:3" x14ac:dyDescent="0.2">
      <c r="A25" s="94" t="s">
        <v>235</v>
      </c>
      <c r="B25" s="96">
        <v>8563161.1414516345</v>
      </c>
      <c r="C25" s="97">
        <v>18843.421793862519</v>
      </c>
    </row>
    <row r="26" spans="1:3" x14ac:dyDescent="0.2">
      <c r="A26" s="94" t="s">
        <v>236</v>
      </c>
      <c r="B26" s="96">
        <v>8765716.2293519992</v>
      </c>
      <c r="C26" s="97">
        <v>18102.716455118592</v>
      </c>
    </row>
    <row r="28" spans="1:3" x14ac:dyDescent="0.2">
      <c r="A28" s="102" t="s">
        <v>238</v>
      </c>
      <c r="B28" s="104">
        <f>SUM(B15:B27)</f>
        <v>118831903.29271215</v>
      </c>
    </row>
    <row r="30" spans="1:3" x14ac:dyDescent="0.2">
      <c r="A30" s="102" t="s">
        <v>254</v>
      </c>
      <c r="C30" s="104">
        <f>MAX(C15:C26)</f>
        <v>24336.040599945238</v>
      </c>
    </row>
    <row r="37" spans="1:1" x14ac:dyDescent="0.2">
      <c r="A37" s="102" t="s">
        <v>252</v>
      </c>
    </row>
    <row r="38" spans="1:1" ht="12.75" customHeight="1" x14ac:dyDescent="0.2">
      <c r="A38" s="107" t="s">
        <v>261</v>
      </c>
    </row>
    <row r="39" spans="1:1" x14ac:dyDescent="0.2">
      <c r="A39" s="102" t="s">
        <v>253</v>
      </c>
    </row>
  </sheetData>
  <phoneticPr fontId="2" type="noConversion"/>
  <pageMargins left="0.75" right="0.75" top="1" bottom="1" header="0.5" footer="0.5"/>
  <pageSetup orientation="portrait" r:id="rId1"/>
  <headerFooter alignWithMargins="0"/>
  <ignoredErrors>
    <ignoredError sqref="B6" unlockedFormula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U45"/>
  <sheetViews>
    <sheetView zoomScale="75" zoomScaleNormal="75" workbookViewId="0">
      <selection activeCell="A2" sqref="A2"/>
    </sheetView>
  </sheetViews>
  <sheetFormatPr defaultColWidth="9.140625" defaultRowHeight="12.75" x14ac:dyDescent="0.2"/>
  <cols>
    <col min="1" max="1" width="21" style="2" customWidth="1"/>
    <col min="2" max="2" width="11.7109375" style="2" customWidth="1"/>
    <col min="3" max="8" width="7.42578125" style="3" customWidth="1"/>
    <col min="9" max="9" width="11.85546875" style="3" customWidth="1"/>
    <col min="10" max="10" width="9.28515625" style="3" bestFit="1" customWidth="1"/>
    <col min="11" max="11" width="2.7109375" style="3" customWidth="1"/>
    <col min="12" max="12" width="12.7109375" style="3" bestFit="1" customWidth="1"/>
    <col min="13" max="18" width="7.42578125" style="2" customWidth="1"/>
    <col min="19" max="19" width="12.7109375" style="2" bestFit="1" customWidth="1"/>
    <col min="20" max="20" width="9.28515625" style="2" bestFit="1" customWidth="1"/>
    <col min="21" max="21" width="2.7109375" style="2" customWidth="1"/>
    <col min="22" max="16384" width="9.140625" style="2"/>
  </cols>
  <sheetData>
    <row r="1" spans="1:21" s="224" customFormat="1" x14ac:dyDescent="0.2">
      <c r="A1" s="224" t="s">
        <v>374</v>
      </c>
      <c r="C1" s="225"/>
      <c r="D1" s="225"/>
      <c r="E1" s="225"/>
      <c r="F1" s="225"/>
      <c r="G1" s="225"/>
      <c r="H1" s="225"/>
      <c r="I1" s="225"/>
      <c r="J1" s="225"/>
      <c r="K1" s="225"/>
      <c r="L1" s="225"/>
    </row>
    <row r="2" spans="1:21" s="224" customFormat="1" x14ac:dyDescent="0.2">
      <c r="A2" s="224" t="s">
        <v>364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</row>
    <row r="3" spans="1:21" s="224" customFormat="1" x14ac:dyDescent="0.2">
      <c r="C3" s="225"/>
      <c r="D3" s="225"/>
      <c r="E3" s="225"/>
      <c r="F3" s="225"/>
      <c r="G3" s="225"/>
      <c r="H3" s="225"/>
      <c r="I3" s="225"/>
      <c r="J3" s="225"/>
      <c r="K3" s="225"/>
      <c r="L3" s="225"/>
    </row>
    <row r="4" spans="1:21" s="17" customFormat="1" ht="20.100000000000001" customHeight="1" x14ac:dyDescent="0.2">
      <c r="A4" s="229" t="s">
        <v>242</v>
      </c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</row>
    <row r="5" spans="1:21" s="17" customFormat="1" ht="20.100000000000001" customHeight="1" x14ac:dyDescent="0.2">
      <c r="A5" s="230" t="s">
        <v>325</v>
      </c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</row>
    <row r="6" spans="1:21" s="17" customFormat="1" ht="20.100000000000001" customHeight="1" x14ac:dyDescent="0.2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</row>
    <row r="7" spans="1:21" ht="15" customHeight="1" x14ac:dyDescent="0.2">
      <c r="A7" s="11"/>
    </row>
    <row r="8" spans="1:21" ht="15" customHeight="1" x14ac:dyDescent="0.2">
      <c r="A8" s="16" t="s">
        <v>262</v>
      </c>
    </row>
    <row r="9" spans="1:21" ht="15" customHeight="1" x14ac:dyDescent="0.2">
      <c r="A9" s="79"/>
    </row>
    <row r="10" spans="1:21" ht="15" customHeight="1" x14ac:dyDescent="0.2">
      <c r="A10" s="16" t="s">
        <v>190</v>
      </c>
    </row>
    <row r="11" spans="1:21" ht="15" customHeight="1" thickBot="1" x14ac:dyDescent="0.25">
      <c r="C11" s="8"/>
      <c r="D11" s="8"/>
      <c r="E11" s="8"/>
      <c r="F11" s="2"/>
      <c r="G11" s="8"/>
      <c r="H11" s="9"/>
      <c r="I11" s="8"/>
      <c r="J11" s="8"/>
      <c r="K11" s="8"/>
      <c r="L11" s="8"/>
    </row>
    <row r="12" spans="1:21" ht="18" customHeight="1" thickBot="1" x14ac:dyDescent="0.25">
      <c r="B12" s="237" t="s">
        <v>314</v>
      </c>
      <c r="C12" s="238"/>
      <c r="D12" s="238"/>
      <c r="E12" s="238"/>
      <c r="F12" s="238"/>
      <c r="G12" s="238"/>
      <c r="H12" s="238"/>
      <c r="I12" s="238"/>
      <c r="J12" s="239"/>
      <c r="K12" s="69"/>
      <c r="L12" s="237" t="s">
        <v>316</v>
      </c>
      <c r="M12" s="238"/>
      <c r="N12" s="238"/>
      <c r="O12" s="238"/>
      <c r="P12" s="238"/>
      <c r="Q12" s="238"/>
      <c r="R12" s="238"/>
      <c r="S12" s="238"/>
      <c r="T12" s="239"/>
    </row>
    <row r="13" spans="1:21" s="12" customFormat="1" ht="18" customHeight="1" thickBot="1" x14ac:dyDescent="0.25">
      <c r="B13" s="70" t="s">
        <v>314</v>
      </c>
      <c r="C13" s="231" t="s">
        <v>195</v>
      </c>
      <c r="D13" s="232"/>
      <c r="E13" s="233"/>
      <c r="F13" s="234" t="s">
        <v>181</v>
      </c>
      <c r="G13" s="235"/>
      <c r="H13" s="236"/>
      <c r="I13" s="81" t="s">
        <v>314</v>
      </c>
      <c r="J13" s="85" t="s">
        <v>185</v>
      </c>
      <c r="K13" s="71"/>
      <c r="L13" s="70" t="s">
        <v>315</v>
      </c>
      <c r="M13" s="231" t="s">
        <v>195</v>
      </c>
      <c r="N13" s="232"/>
      <c r="O13" s="233"/>
      <c r="P13" s="234" t="s">
        <v>181</v>
      </c>
      <c r="Q13" s="235"/>
      <c r="R13" s="236"/>
      <c r="S13" s="81" t="s">
        <v>108</v>
      </c>
      <c r="T13" s="85" t="s">
        <v>185</v>
      </c>
    </row>
    <row r="14" spans="1:21" s="12" customFormat="1" ht="18" customHeight="1" thickBot="1" x14ac:dyDescent="0.25">
      <c r="A14" s="12" t="s">
        <v>3</v>
      </c>
      <c r="B14" s="72" t="s">
        <v>180</v>
      </c>
      <c r="C14" s="73" t="s">
        <v>182</v>
      </c>
      <c r="D14" s="74" t="s">
        <v>184</v>
      </c>
      <c r="E14" s="75" t="s">
        <v>183</v>
      </c>
      <c r="F14" s="73" t="s">
        <v>182</v>
      </c>
      <c r="G14" s="74" t="s">
        <v>184</v>
      </c>
      <c r="H14" s="75" t="s">
        <v>183</v>
      </c>
      <c r="I14" s="82" t="s">
        <v>193</v>
      </c>
      <c r="J14" s="86" t="s">
        <v>186</v>
      </c>
      <c r="K14" s="71"/>
      <c r="L14" s="72" t="s">
        <v>180</v>
      </c>
      <c r="M14" s="73" t="s">
        <v>182</v>
      </c>
      <c r="N14" s="74" t="s">
        <v>184</v>
      </c>
      <c r="O14" s="75" t="s">
        <v>183</v>
      </c>
      <c r="P14" s="73" t="s">
        <v>182</v>
      </c>
      <c r="Q14" s="74" t="s">
        <v>184</v>
      </c>
      <c r="R14" s="75" t="s">
        <v>183</v>
      </c>
      <c r="S14" s="82" t="s">
        <v>193</v>
      </c>
      <c r="T14" s="86" t="s">
        <v>186</v>
      </c>
    </row>
    <row r="15" spans="1:21" ht="18" customHeight="1" x14ac:dyDescent="0.2">
      <c r="B15" s="3"/>
      <c r="K15" s="2"/>
      <c r="L15" s="2"/>
      <c r="T15" s="3"/>
    </row>
    <row r="16" spans="1:21" ht="18" customHeight="1" x14ac:dyDescent="0.2">
      <c r="A16" s="2" t="s">
        <v>5</v>
      </c>
      <c r="B16" s="100">
        <f>INDEX('2017 CP'!$B$8:$V$43,MATCH($A16,'2017 CP'!$B$8:$B$43,0),MATCH(B$13,'2017 CP'!$B$8:$V$8,0))</f>
        <v>364243.00101469428</v>
      </c>
      <c r="C16" s="14">
        <v>0</v>
      </c>
      <c r="D16" s="14">
        <v>0.39212000000000102</v>
      </c>
      <c r="E16" s="14">
        <v>0.60788000000000098</v>
      </c>
      <c r="F16" s="14">
        <v>1.0218365995754572</v>
      </c>
      <c r="G16" s="14">
        <v>1.0348230509591971</v>
      </c>
      <c r="H16" s="14">
        <v>1.0644101236847672</v>
      </c>
      <c r="I16" s="10">
        <f t="shared" ref="I16:I32" si="0">(B16*C16*F16)+(B16*D16*G16)+(B16*E16*H16)</f>
        <v>383478.10594422871</v>
      </c>
      <c r="J16" s="77">
        <f t="shared" ref="J16:J32" si="1">+I16/I$35</f>
        <v>1.7153782119157003E-2</v>
      </c>
      <c r="K16" s="2"/>
      <c r="L16" s="10">
        <f>INDEX('2017 CP'!$B$8:$V$43,MATCH($A16,'2017 CP'!$B$8:$B$43,0),MATCH(L$13,'2017 CP'!$B$8:$V$8,0))</f>
        <v>361594.47654571279</v>
      </c>
      <c r="M16" s="14">
        <v>0</v>
      </c>
      <c r="N16" s="14">
        <v>0.39212000000000102</v>
      </c>
      <c r="O16" s="14">
        <v>0.60788000000000098</v>
      </c>
      <c r="P16" s="14">
        <v>1.0218365995754572</v>
      </c>
      <c r="Q16" s="14">
        <v>1.0348230509591971</v>
      </c>
      <c r="R16" s="14">
        <v>1.0644101236847672</v>
      </c>
      <c r="S16" s="10">
        <f t="shared" ref="S16:S32" si="2">(L16*M16*P16)+(L16*N16*Q16)+(L16*O16*R16)</f>
        <v>380689.71702781133</v>
      </c>
      <c r="T16" s="77">
        <f t="shared" ref="T16:T32" si="3">+S16/S$35</f>
        <v>1.7405542257385689E-2</v>
      </c>
      <c r="U16" s="76"/>
    </row>
    <row r="17" spans="1:21" ht="18" customHeight="1" x14ac:dyDescent="0.2">
      <c r="A17" s="2" t="s">
        <v>6</v>
      </c>
      <c r="B17" s="100">
        <f>INDEX('2017 CP'!$B$8:$V$43,MATCH($A17,'2017 CP'!$B$8:$B$43,0),MATCH(B$13,'2017 CP'!$B$8:$V$8,0))</f>
        <v>14065.28029064285</v>
      </c>
      <c r="C17" s="14">
        <v>0</v>
      </c>
      <c r="D17" s="14">
        <v>1.4280000000000998E-2</v>
      </c>
      <c r="E17" s="14">
        <v>0.98572000000000104</v>
      </c>
      <c r="F17" s="14">
        <v>1.0218365995754572</v>
      </c>
      <c r="G17" s="14">
        <v>1.0348230509591971</v>
      </c>
      <c r="H17" s="14">
        <v>1.0644101236847672</v>
      </c>
      <c r="I17" s="10">
        <f t="shared" si="0"/>
        <v>14965.284105100156</v>
      </c>
      <c r="J17" s="77">
        <f t="shared" si="1"/>
        <v>6.6942862946002568E-4</v>
      </c>
      <c r="K17" s="2"/>
      <c r="L17" s="10">
        <f>INDEX('2017 CP'!$B$8:$V$43,MATCH($A17,'2017 CP'!$B$8:$B$43,0),MATCH(L$13,'2017 CP'!$B$8:$V$8,0))</f>
        <v>13981.378741503519</v>
      </c>
      <c r="M17" s="14">
        <v>0</v>
      </c>
      <c r="N17" s="14">
        <v>1.4280000000000998E-2</v>
      </c>
      <c r="O17" s="14">
        <v>0.98572000000000104</v>
      </c>
      <c r="P17" s="14">
        <v>1.0218365995754572</v>
      </c>
      <c r="Q17" s="14">
        <v>1.0348230509591971</v>
      </c>
      <c r="R17" s="14">
        <v>1.0644101236847672</v>
      </c>
      <c r="S17" s="10">
        <f t="shared" si="2"/>
        <v>14876.01389549307</v>
      </c>
      <c r="T17" s="77">
        <f t="shared" si="3"/>
        <v>6.8014731393584117E-4</v>
      </c>
      <c r="U17" s="76"/>
    </row>
    <row r="18" spans="1:21" ht="18" customHeight="1" x14ac:dyDescent="0.2">
      <c r="A18" s="2" t="s">
        <v>7</v>
      </c>
      <c r="B18" s="100">
        <f>INDEX('2017 CP'!$B$8:$V$43,MATCH($A18,'2017 CP'!$B$8:$B$43,0),MATCH(B$13,'2017 CP'!$B$8:$V$8,0))</f>
        <v>189133.23200863801</v>
      </c>
      <c r="C18" s="14">
        <v>1.0000000000000011</v>
      </c>
      <c r="D18" s="14">
        <v>0</v>
      </c>
      <c r="E18" s="14">
        <v>0</v>
      </c>
      <c r="F18" s="14">
        <v>1.0218365995754572</v>
      </c>
      <c r="G18" s="14">
        <v>1.0348230509591971</v>
      </c>
      <c r="H18" s="14">
        <v>1.0644101236847672</v>
      </c>
      <c r="I18" s="10">
        <f t="shared" si="0"/>
        <v>193263.25866242289</v>
      </c>
      <c r="J18" s="77">
        <f t="shared" si="1"/>
        <v>8.645071985454186E-3</v>
      </c>
      <c r="K18" s="2"/>
      <c r="L18" s="10">
        <f>INDEX('2017 CP'!$B$8:$V$43,MATCH($A18,'2017 CP'!$B$8:$B$43,0),MATCH(L$13,'2017 CP'!$B$8:$V$8,0))</f>
        <v>187077.03377445901</v>
      </c>
      <c r="M18" s="14">
        <v>1.0000000000000011</v>
      </c>
      <c r="N18" s="14">
        <v>0</v>
      </c>
      <c r="O18" s="14">
        <v>0</v>
      </c>
      <c r="P18" s="14">
        <v>1.0218365995754572</v>
      </c>
      <c r="Q18" s="14">
        <v>1.0348230509591971</v>
      </c>
      <c r="R18" s="14">
        <v>1.0644101236847672</v>
      </c>
      <c r="S18" s="10">
        <f t="shared" si="2"/>
        <v>191162.16005075636</v>
      </c>
      <c r="T18" s="77">
        <f t="shared" si="3"/>
        <v>8.7401390317393083E-3</v>
      </c>
      <c r="U18" s="76"/>
    </row>
    <row r="19" spans="1:21" ht="18" customHeight="1" x14ac:dyDescent="0.2">
      <c r="A19" s="2" t="s">
        <v>171</v>
      </c>
      <c r="B19" s="100">
        <f>INDEX('2017 CP'!$B$8:$V$43,MATCH($A19,'2017 CP'!$B$8:$B$43,0),MATCH(B$13,'2017 CP'!$B$8:$V$8,0))</f>
        <v>1253442.0741475923</v>
      </c>
      <c r="C19" s="14">
        <v>0</v>
      </c>
      <c r="D19" s="14">
        <v>0</v>
      </c>
      <c r="E19" s="14">
        <v>1.0000000000000011</v>
      </c>
      <c r="F19" s="14">
        <v>1.0218365995754572</v>
      </c>
      <c r="G19" s="14">
        <v>1.0348230509591971</v>
      </c>
      <c r="H19" s="14">
        <v>1.0644101236847672</v>
      </c>
      <c r="I19" s="10">
        <f t="shared" si="0"/>
        <v>1334176.4331751312</v>
      </c>
      <c r="J19" s="77">
        <f t="shared" si="1"/>
        <v>5.9680517579610376E-2</v>
      </c>
      <c r="K19" s="2"/>
      <c r="L19" s="10">
        <f>INDEX('2017 CP'!$B$8:$V$43,MATCH($A19,'2017 CP'!$B$8:$B$43,0),MATCH(L$13,'2017 CP'!$B$8:$V$8,0))</f>
        <v>1140840.6831775703</v>
      </c>
      <c r="M19" s="14">
        <v>0</v>
      </c>
      <c r="N19" s="14">
        <v>0</v>
      </c>
      <c r="O19" s="14">
        <v>1.0000000000000011</v>
      </c>
      <c r="P19" s="14">
        <v>1.0218365995754572</v>
      </c>
      <c r="Q19" s="14">
        <v>1.0348230509591971</v>
      </c>
      <c r="R19" s="14">
        <v>1.0644101236847672</v>
      </c>
      <c r="S19" s="10">
        <f t="shared" si="2"/>
        <v>1214322.3726856532</v>
      </c>
      <c r="T19" s="77">
        <f t="shared" si="3"/>
        <v>5.5520121575348198E-2</v>
      </c>
      <c r="U19" s="76"/>
    </row>
    <row r="20" spans="1:21" ht="18" customHeight="1" x14ac:dyDescent="0.2">
      <c r="A20" s="2" t="s">
        <v>12</v>
      </c>
      <c r="B20" s="100">
        <f>INDEX('2017 CP'!$B$8:$V$43,MATCH($A20,'2017 CP'!$B$8:$B$43,0),MATCH(B$13,'2017 CP'!$B$8:$V$8,0))</f>
        <v>8432.369546271264</v>
      </c>
      <c r="C20" s="14">
        <v>0</v>
      </c>
      <c r="D20" s="14">
        <v>0</v>
      </c>
      <c r="E20" s="14">
        <v>1.0000000000000011</v>
      </c>
      <c r="F20" s="14">
        <v>1.0218365995754572</v>
      </c>
      <c r="G20" s="14">
        <v>1.0348230509591971</v>
      </c>
      <c r="H20" s="14">
        <v>1.0644101236847672</v>
      </c>
      <c r="I20" s="10">
        <f t="shared" si="0"/>
        <v>8975.49951170227</v>
      </c>
      <c r="J20" s="77">
        <f t="shared" si="1"/>
        <v>4.0149296830190506E-4</v>
      </c>
      <c r="K20" s="2"/>
      <c r="L20" s="10">
        <f>INDEX('2017 CP'!$B$8:$V$43,MATCH($A20,'2017 CP'!$B$8:$B$43,0),MATCH(L$13,'2017 CP'!$B$8:$V$8,0))</f>
        <v>8416.4664210237097</v>
      </c>
      <c r="M20" s="14">
        <v>0</v>
      </c>
      <c r="N20" s="14">
        <v>0</v>
      </c>
      <c r="O20" s="14">
        <v>1.0000000000000011</v>
      </c>
      <c r="P20" s="14">
        <v>1.0218365995754572</v>
      </c>
      <c r="Q20" s="14">
        <v>1.0348230509591971</v>
      </c>
      <c r="R20" s="14">
        <v>1.0644101236847672</v>
      </c>
      <c r="S20" s="10">
        <f t="shared" si="2"/>
        <v>8958.5720641905464</v>
      </c>
      <c r="T20" s="77">
        <f t="shared" si="3"/>
        <v>4.0959552531783276E-4</v>
      </c>
      <c r="U20" s="76"/>
    </row>
    <row r="21" spans="1:21" ht="18" customHeight="1" x14ac:dyDescent="0.2">
      <c r="A21" s="2" t="s">
        <v>170</v>
      </c>
      <c r="B21" s="100">
        <f>INDEX('2017 CP'!$B$8:$V$43,MATCH($A21,'2017 CP'!$B$8:$B$43,0),MATCH(B$13,'2017 CP'!$B$8:$V$8,0))</f>
        <v>4496660.3291689204</v>
      </c>
      <c r="C21" s="14">
        <v>0</v>
      </c>
      <c r="D21" s="14">
        <v>2.8800000000010002E-3</v>
      </c>
      <c r="E21" s="14">
        <v>0.99712000000000101</v>
      </c>
      <c r="F21" s="14">
        <v>1.0218365995754572</v>
      </c>
      <c r="G21" s="14">
        <v>1.0348230509591971</v>
      </c>
      <c r="H21" s="14">
        <v>1.0644101236847672</v>
      </c>
      <c r="I21" s="10">
        <f t="shared" si="0"/>
        <v>4785907.6132524833</v>
      </c>
      <c r="J21" s="77">
        <f t="shared" si="1"/>
        <v>0.21408371212745986</v>
      </c>
      <c r="K21" s="2"/>
      <c r="L21" s="10">
        <f>INDEX('2017 CP'!$B$8:$V$43,MATCH($A21,'2017 CP'!$B$8:$B$43,0),MATCH(L$13,'2017 CP'!$B$8:$V$8,0))</f>
        <v>4269843.318638714</v>
      </c>
      <c r="M21" s="14">
        <v>0</v>
      </c>
      <c r="N21" s="14">
        <v>2.8800000000010002E-3</v>
      </c>
      <c r="O21" s="14">
        <v>0.99712000000000101</v>
      </c>
      <c r="P21" s="14">
        <v>1.0218365995754572</v>
      </c>
      <c r="Q21" s="14">
        <v>1.0348230509591971</v>
      </c>
      <c r="R21" s="14">
        <v>1.0644101236847672</v>
      </c>
      <c r="S21" s="10">
        <f t="shared" si="2"/>
        <v>4544500.6182722086</v>
      </c>
      <c r="T21" s="77">
        <f t="shared" si="3"/>
        <v>0.20777944349958286</v>
      </c>
      <c r="U21" s="76"/>
    </row>
    <row r="22" spans="1:21" ht="18" customHeight="1" x14ac:dyDescent="0.2">
      <c r="A22" s="2" t="s">
        <v>172</v>
      </c>
      <c r="B22" s="100">
        <f>INDEX('2017 CP'!$B$8:$V$43,MATCH($A22,'2017 CP'!$B$8:$B$43,0),MATCH(B$13,'2017 CP'!$B$8:$V$8,0))</f>
        <v>1743268.5031657298</v>
      </c>
      <c r="C22" s="14">
        <v>0</v>
      </c>
      <c r="D22" s="14">
        <v>3.9350000000001002E-2</v>
      </c>
      <c r="E22" s="14">
        <v>0.960650000000001</v>
      </c>
      <c r="F22" s="14">
        <v>1.0218365995754572</v>
      </c>
      <c r="G22" s="14">
        <v>1.0348230509591971</v>
      </c>
      <c r="H22" s="14">
        <v>1.0644101236847672</v>
      </c>
      <c r="I22" s="10">
        <f t="shared" si="0"/>
        <v>1853523.040428852</v>
      </c>
      <c r="J22" s="77">
        <f t="shared" si="1"/>
        <v>8.2911983488773336E-2</v>
      </c>
      <c r="K22" s="2"/>
      <c r="L22" s="10">
        <f>INDEX('2017 CP'!$B$8:$V$43,MATCH($A22,'2017 CP'!$B$8:$B$43,0),MATCH(L$13,'2017 CP'!$B$8:$V$8,0))</f>
        <v>1684457.1265341616</v>
      </c>
      <c r="M22" s="14">
        <v>0</v>
      </c>
      <c r="N22" s="14">
        <v>3.9350000000001002E-2</v>
      </c>
      <c r="O22" s="14">
        <v>0.960650000000001</v>
      </c>
      <c r="P22" s="14">
        <v>1.0218365995754572</v>
      </c>
      <c r="Q22" s="14">
        <v>1.0348230509591971</v>
      </c>
      <c r="R22" s="14">
        <v>1.0644101236847672</v>
      </c>
      <c r="S22" s="10">
        <f t="shared" si="2"/>
        <v>1790992.0869767622</v>
      </c>
      <c r="T22" s="77">
        <f t="shared" si="3"/>
        <v>8.1886079550291757E-2</v>
      </c>
      <c r="U22" s="76"/>
    </row>
    <row r="23" spans="1:21" ht="18" customHeight="1" x14ac:dyDescent="0.2">
      <c r="A23" s="2" t="s">
        <v>174</v>
      </c>
      <c r="B23" s="100">
        <f>INDEX('2017 CP'!$B$8:$V$43,MATCH($A23,'2017 CP'!$B$8:$B$43,0),MATCH(B$13,'2017 CP'!$B$8:$V$8,0))</f>
        <v>338356.30663690425</v>
      </c>
      <c r="C23" s="14">
        <v>0</v>
      </c>
      <c r="D23" s="14">
        <v>0.325210000000001</v>
      </c>
      <c r="E23" s="14">
        <v>0.674790000000001</v>
      </c>
      <c r="F23" s="14">
        <v>1.0218365995754572</v>
      </c>
      <c r="G23" s="14">
        <v>1.0348230509591971</v>
      </c>
      <c r="H23" s="14">
        <v>1.0644101236847672</v>
      </c>
      <c r="I23" s="10">
        <f t="shared" si="0"/>
        <v>356894.20978087519</v>
      </c>
      <c r="J23" s="77">
        <f t="shared" si="1"/>
        <v>1.5964628538819924E-2</v>
      </c>
      <c r="K23" s="2"/>
      <c r="L23" s="10">
        <f>INDEX('2017 CP'!$B$8:$V$43,MATCH($A23,'2017 CP'!$B$8:$B$43,0),MATCH(L$13,'2017 CP'!$B$8:$V$8,0))</f>
        <v>331567.99191182619</v>
      </c>
      <c r="M23" s="14">
        <v>0</v>
      </c>
      <c r="N23" s="14">
        <v>0.325210000000001</v>
      </c>
      <c r="O23" s="14">
        <v>0.674790000000001</v>
      </c>
      <c r="P23" s="14">
        <v>1.0218365995754572</v>
      </c>
      <c r="Q23" s="14">
        <v>1.0348230509591971</v>
      </c>
      <c r="R23" s="14">
        <v>1.0644101236847672</v>
      </c>
      <c r="S23" s="10">
        <f t="shared" si="2"/>
        <v>349733.97610995243</v>
      </c>
      <c r="T23" s="77">
        <f t="shared" si="3"/>
        <v>1.599021257403857E-2</v>
      </c>
      <c r="U23" s="76"/>
    </row>
    <row r="24" spans="1:21" ht="18" customHeight="1" x14ac:dyDescent="0.2">
      <c r="A24" s="2" t="s">
        <v>175</v>
      </c>
      <c r="B24" s="100">
        <f>INDEX('2017 CP'!$B$8:$V$43,MATCH($A24,'2017 CP'!$B$8:$B$43,0),MATCH(B$13,'2017 CP'!$B$8:$V$8,0))</f>
        <v>23351.605356139826</v>
      </c>
      <c r="C24" s="14">
        <v>1.0000000000000011</v>
      </c>
      <c r="D24" s="14">
        <v>0</v>
      </c>
      <c r="E24" s="14">
        <v>0</v>
      </c>
      <c r="F24" s="14">
        <v>1.0218365995754572</v>
      </c>
      <c r="G24" s="14">
        <v>1.0348230509591971</v>
      </c>
      <c r="H24" s="14">
        <v>1.0644101236847672</v>
      </c>
      <c r="I24" s="10">
        <f t="shared" si="0"/>
        <v>23861.52501174598</v>
      </c>
      <c r="J24" s="77">
        <f t="shared" si="1"/>
        <v>1.0673761936798414E-3</v>
      </c>
      <c r="K24" s="2"/>
      <c r="L24" s="10">
        <f>INDEX('2017 CP'!$B$8:$V$43,MATCH($A24,'2017 CP'!$B$8:$B$43,0),MATCH(L$13,'2017 CP'!$B$8:$V$8,0))</f>
        <v>23190.798367122323</v>
      </c>
      <c r="M24" s="14">
        <v>1.0000000000000011</v>
      </c>
      <c r="N24" s="14">
        <v>0</v>
      </c>
      <c r="O24" s="14">
        <v>0</v>
      </c>
      <c r="P24" s="14">
        <v>1.0218365995754572</v>
      </c>
      <c r="Q24" s="14">
        <v>1.0348230509591971</v>
      </c>
      <c r="R24" s="14">
        <v>1.0644101236847672</v>
      </c>
      <c r="S24" s="10">
        <f t="shared" si="2"/>
        <v>23697.206544900368</v>
      </c>
      <c r="T24" s="77">
        <f t="shared" si="3"/>
        <v>1.083461705032415E-3</v>
      </c>
      <c r="U24" s="76"/>
    </row>
    <row r="25" spans="1:21" ht="18" customHeight="1" x14ac:dyDescent="0.2">
      <c r="A25" s="2" t="s">
        <v>20</v>
      </c>
      <c r="B25" s="100">
        <f>INDEX('2017 CP'!$B$8:$V$43,MATCH($A25,'2017 CP'!$B$8:$B$43,0),MATCH(B$13,'2017 CP'!$B$8:$V$8,0))</f>
        <v>15269.05659637895</v>
      </c>
      <c r="C25" s="14">
        <v>0</v>
      </c>
      <c r="D25" s="14">
        <v>1.0000000000000011</v>
      </c>
      <c r="E25" s="14">
        <v>0</v>
      </c>
      <c r="F25" s="14">
        <v>1.0218365995754572</v>
      </c>
      <c r="G25" s="14">
        <v>1.0348230509591971</v>
      </c>
      <c r="H25" s="14">
        <v>1.0644101236847672</v>
      </c>
      <c r="I25" s="10">
        <f t="shared" si="0"/>
        <v>15800.771732333536</v>
      </c>
      <c r="J25" s="77">
        <f t="shared" si="1"/>
        <v>7.0680174802574948E-4</v>
      </c>
      <c r="K25" s="2"/>
      <c r="L25" s="10">
        <f>INDEX('2017 CP'!$B$8:$V$43,MATCH($A25,'2017 CP'!$B$8:$B$43,0),MATCH(L$13,'2017 CP'!$B$8:$V$8,0))</f>
        <v>15345.36615764682</v>
      </c>
      <c r="M25" s="14">
        <v>0</v>
      </c>
      <c r="N25" s="14">
        <v>1.0000000000000011</v>
      </c>
      <c r="O25" s="14">
        <v>0</v>
      </c>
      <c r="P25" s="14">
        <v>1.0218365995754572</v>
      </c>
      <c r="Q25" s="14">
        <v>1.0348230509591971</v>
      </c>
      <c r="R25" s="14">
        <v>1.0644101236847672</v>
      </c>
      <c r="S25" s="10">
        <f t="shared" si="2"/>
        <v>15879.738625342112</v>
      </c>
      <c r="T25" s="77">
        <f t="shared" si="3"/>
        <v>7.2603868535655702E-4</v>
      </c>
      <c r="U25" s="76"/>
    </row>
    <row r="26" spans="1:21" ht="18" customHeight="1" x14ac:dyDescent="0.2">
      <c r="A26" s="2" t="s">
        <v>21</v>
      </c>
      <c r="B26" s="100">
        <f>INDEX('2017 CP'!$B$8:$V$43,MATCH($A26,'2017 CP'!$B$8:$B$43,0),MATCH(B$13,'2017 CP'!$B$8:$V$8,0))</f>
        <v>0</v>
      </c>
      <c r="C26" s="14">
        <v>0</v>
      </c>
      <c r="D26" s="14">
        <v>0</v>
      </c>
      <c r="E26" s="14">
        <v>1.0000000000000011</v>
      </c>
      <c r="F26" s="14">
        <v>1.0218365995754572</v>
      </c>
      <c r="G26" s="14">
        <v>1.0348230509591971</v>
      </c>
      <c r="H26" s="14">
        <v>1.0644101236847672</v>
      </c>
      <c r="I26" s="10">
        <f t="shared" si="0"/>
        <v>0</v>
      </c>
      <c r="J26" s="77">
        <f t="shared" si="1"/>
        <v>0</v>
      </c>
      <c r="K26" s="2"/>
      <c r="L26" s="10">
        <f>INDEX('2017 CP'!$B$8:$V$43,MATCH($A26,'2017 CP'!$B$8:$B$43,0),MATCH(L$13,'2017 CP'!$B$8:$V$8,0))</f>
        <v>1792.29851143105</v>
      </c>
      <c r="M26" s="14">
        <v>0</v>
      </c>
      <c r="N26" s="14">
        <v>0</v>
      </c>
      <c r="O26" s="14">
        <v>1.0000000000000011</v>
      </c>
      <c r="P26" s="14">
        <v>1.0218365995754572</v>
      </c>
      <c r="Q26" s="14">
        <v>1.0348230509591971</v>
      </c>
      <c r="R26" s="14">
        <v>1.0644101236847672</v>
      </c>
      <c r="S26" s="10">
        <f t="shared" si="2"/>
        <v>1907.7406802323501</v>
      </c>
      <c r="T26" s="77">
        <f t="shared" si="3"/>
        <v>8.7223950479051356E-5</v>
      </c>
      <c r="U26" s="76"/>
    </row>
    <row r="27" spans="1:21" ht="18" customHeight="1" x14ac:dyDescent="0.2">
      <c r="A27" s="2" t="s">
        <v>22</v>
      </c>
      <c r="B27" s="100">
        <f>INDEX('2017 CP'!$B$8:$V$43,MATCH($A27,'2017 CP'!$B$8:$B$43,0),MATCH(B$13,'2017 CP'!$B$8:$V$8,0))</f>
        <v>905.26591904898555</v>
      </c>
      <c r="C27" s="14">
        <v>0</v>
      </c>
      <c r="D27" s="14">
        <v>1.0000000000000011</v>
      </c>
      <c r="E27" s="14">
        <v>0</v>
      </c>
      <c r="F27" s="14">
        <v>1.0218365995754572</v>
      </c>
      <c r="G27" s="14">
        <v>1.0348230509591971</v>
      </c>
      <c r="H27" s="14">
        <v>1.0644101236847672</v>
      </c>
      <c r="I27" s="10">
        <f t="shared" si="0"/>
        <v>936.79004027965391</v>
      </c>
      <c r="J27" s="77">
        <f t="shared" si="1"/>
        <v>4.1904588536511047E-5</v>
      </c>
      <c r="K27" s="2"/>
      <c r="L27" s="10">
        <f>INDEX('2017 CP'!$B$8:$V$43,MATCH($A27,'2017 CP'!$B$8:$B$43,0),MATCH(L$13,'2017 CP'!$B$8:$V$8,0))</f>
        <v>1211.2431660793623</v>
      </c>
      <c r="M27" s="14">
        <v>0</v>
      </c>
      <c r="N27" s="14">
        <v>1.0000000000000011</v>
      </c>
      <c r="O27" s="14">
        <v>0</v>
      </c>
      <c r="P27" s="14">
        <v>1.0218365995754572</v>
      </c>
      <c r="Q27" s="14">
        <v>1.0348230509591971</v>
      </c>
      <c r="R27" s="14">
        <v>1.0644101236847672</v>
      </c>
      <c r="S27" s="10">
        <f t="shared" si="2"/>
        <v>1253.4223485757245</v>
      </c>
      <c r="T27" s="77">
        <f t="shared" si="3"/>
        <v>5.7307814418566446E-5</v>
      </c>
      <c r="U27" s="76"/>
    </row>
    <row r="28" spans="1:21" ht="18" customHeight="1" x14ac:dyDescent="0.2">
      <c r="A28" s="2" t="s">
        <v>169</v>
      </c>
      <c r="B28" s="100">
        <f>INDEX('2017 CP'!$B$8:$V$43,MATCH($A28,'2017 CP'!$B$8:$B$43,0),MATCH(B$13,'2017 CP'!$B$8:$V$8,0))</f>
        <v>12560331.69438125</v>
      </c>
      <c r="C28" s="14">
        <v>0</v>
      </c>
      <c r="D28" s="14">
        <v>0</v>
      </c>
      <c r="E28" s="14">
        <v>1.0000000000000011</v>
      </c>
      <c r="F28" s="14">
        <v>1.0218365995754572</v>
      </c>
      <c r="G28" s="14">
        <v>1.0348230509591971</v>
      </c>
      <c r="H28" s="14">
        <v>1.0644101236847672</v>
      </c>
      <c r="I28" s="10">
        <f t="shared" si="0"/>
        <v>13369344.212338062</v>
      </c>
      <c r="J28" s="77">
        <f t="shared" si="1"/>
        <v>0.59803888185421772</v>
      </c>
      <c r="K28" s="2"/>
      <c r="L28" s="10">
        <f>INDEX('2017 CP'!$B$8:$V$43,MATCH($A28,'2017 CP'!$B$8:$B$43,0),MATCH(L$13,'2017 CP'!$B$8:$V$8,0))</f>
        <v>12502337.603499159</v>
      </c>
      <c r="M28" s="14">
        <v>0</v>
      </c>
      <c r="N28" s="14">
        <v>0</v>
      </c>
      <c r="O28" s="14">
        <v>1.0000000000000011</v>
      </c>
      <c r="P28" s="14">
        <v>1.0218365995754572</v>
      </c>
      <c r="Q28" s="14">
        <v>1.0348230509591971</v>
      </c>
      <c r="R28" s="14">
        <v>1.0644101236847672</v>
      </c>
      <c r="S28" s="10">
        <f t="shared" si="2"/>
        <v>13307614.714889269</v>
      </c>
      <c r="T28" s="77">
        <f t="shared" si="3"/>
        <v>0.60843842085729705</v>
      </c>
      <c r="U28" s="76"/>
    </row>
    <row r="29" spans="1:21" ht="18" customHeight="1" x14ac:dyDescent="0.2">
      <c r="A29" s="2" t="s">
        <v>27</v>
      </c>
      <c r="B29" s="100">
        <f>INDEX('2017 CP'!$B$8:$V$43,MATCH($A29,'2017 CP'!$B$8:$B$43,0),MATCH(B$13,'2017 CP'!$B$8:$V$8,0))</f>
        <v>0</v>
      </c>
      <c r="C29" s="14">
        <v>0</v>
      </c>
      <c r="D29" s="14">
        <v>0</v>
      </c>
      <c r="E29" s="14">
        <v>1.0000000000000011</v>
      </c>
      <c r="F29" s="14">
        <v>1.0218365995754572</v>
      </c>
      <c r="G29" s="14">
        <v>1.0348230509591971</v>
      </c>
      <c r="H29" s="14">
        <v>1.0644101236847672</v>
      </c>
      <c r="I29" s="10">
        <f t="shared" si="0"/>
        <v>0</v>
      </c>
      <c r="J29" s="77">
        <f t="shared" si="1"/>
        <v>0</v>
      </c>
      <c r="K29" s="2"/>
      <c r="L29" s="10">
        <f>INDEX('2017 CP'!$B$8:$V$43,MATCH($A29,'2017 CP'!$B$8:$B$43,0),MATCH(L$13,'2017 CP'!$B$8:$V$8,0))</f>
        <v>10803.65695060596</v>
      </c>
      <c r="M29" s="14">
        <v>0</v>
      </c>
      <c r="N29" s="14">
        <v>0</v>
      </c>
      <c r="O29" s="14">
        <v>1.0000000000000011</v>
      </c>
      <c r="P29" s="14">
        <v>1.0218365995754572</v>
      </c>
      <c r="Q29" s="14">
        <v>1.0348230509591971</v>
      </c>
      <c r="R29" s="14">
        <v>1.0644101236847672</v>
      </c>
      <c r="S29" s="10">
        <f t="shared" si="2"/>
        <v>11499.521831042299</v>
      </c>
      <c r="T29" s="77">
        <f t="shared" si="3"/>
        <v>5.2577047452877115E-4</v>
      </c>
      <c r="U29" s="76"/>
    </row>
    <row r="30" spans="1:21" ht="18" customHeight="1" x14ac:dyDescent="0.2">
      <c r="A30" s="2" t="s">
        <v>28</v>
      </c>
      <c r="B30" s="100">
        <f>INDEX('2017 CP'!$B$8:$V$43,MATCH($A30,'2017 CP'!$B$8:$B$43,0),MATCH(B$13,'2017 CP'!$B$8:$V$8,0))</f>
        <v>3921.8374859843575</v>
      </c>
      <c r="C30" s="14">
        <v>0</v>
      </c>
      <c r="D30" s="14">
        <v>0</v>
      </c>
      <c r="E30" s="14">
        <v>1.0000000000000011</v>
      </c>
      <c r="F30" s="14">
        <v>1.0218365995754572</v>
      </c>
      <c r="G30" s="14">
        <v>1.0348230509591971</v>
      </c>
      <c r="H30" s="14">
        <v>1.0644101236847672</v>
      </c>
      <c r="I30" s="10">
        <f t="shared" si="0"/>
        <v>4174.4435235281708</v>
      </c>
      <c r="J30" s="77">
        <f t="shared" si="1"/>
        <v>1.8673163750772918E-4</v>
      </c>
      <c r="K30" s="2"/>
      <c r="L30" s="10">
        <f>INDEX('2017 CP'!$B$8:$V$43,MATCH($A30,'2017 CP'!$B$8:$B$43,0),MATCH(L$13,'2017 CP'!$B$8:$V$8,0))</f>
        <v>3929.9627453567255</v>
      </c>
      <c r="M30" s="14">
        <v>0</v>
      </c>
      <c r="N30" s="14">
        <v>0</v>
      </c>
      <c r="O30" s="14">
        <v>1.0000000000000011</v>
      </c>
      <c r="P30" s="14">
        <v>1.0218365995754572</v>
      </c>
      <c r="Q30" s="14">
        <v>1.0348230509591971</v>
      </c>
      <c r="R30" s="14">
        <v>1.0644101236847672</v>
      </c>
      <c r="S30" s="10">
        <f t="shared" si="2"/>
        <v>4183.0921318616838</v>
      </c>
      <c r="T30" s="77">
        <f t="shared" si="3"/>
        <v>1.9125545979046515E-4</v>
      </c>
      <c r="U30" s="76"/>
    </row>
    <row r="31" spans="1:21" ht="18" customHeight="1" x14ac:dyDescent="0.2">
      <c r="A31" s="2" t="s">
        <v>29</v>
      </c>
      <c r="B31" s="100">
        <f>INDEX('2017 CP'!$B$8:$V$43,MATCH($A31,'2017 CP'!$B$8:$B$43,0),MATCH(B$13,'2017 CP'!$B$8:$V$8,0))</f>
        <v>1810.9805699860899</v>
      </c>
      <c r="C31" s="14">
        <v>0</v>
      </c>
      <c r="D31" s="14">
        <v>1.0000000000000011</v>
      </c>
      <c r="E31" s="14">
        <v>0</v>
      </c>
      <c r="F31" s="14">
        <v>1.0218365995754572</v>
      </c>
      <c r="G31" s="14">
        <v>1.0348230509591971</v>
      </c>
      <c r="H31" s="14">
        <v>1.0644101236847672</v>
      </c>
      <c r="I31" s="10">
        <f t="shared" si="0"/>
        <v>1874.0444386608335</v>
      </c>
      <c r="J31" s="77">
        <f t="shared" si="1"/>
        <v>8.3829948787431243E-5</v>
      </c>
      <c r="K31" s="2"/>
      <c r="L31" s="10">
        <f>INDEX('2017 CP'!$B$8:$V$43,MATCH($A31,'2017 CP'!$B$8:$B$43,0),MATCH(L$13,'2017 CP'!$B$8:$V$8,0))</f>
        <v>1664.0014246919977</v>
      </c>
      <c r="M31" s="14">
        <v>0</v>
      </c>
      <c r="N31" s="14">
        <v>1.0000000000000011</v>
      </c>
      <c r="O31" s="14">
        <v>0</v>
      </c>
      <c r="P31" s="14">
        <v>1.0218365995754572</v>
      </c>
      <c r="Q31" s="14">
        <v>1.0348230509591971</v>
      </c>
      <c r="R31" s="14">
        <v>1.0644101236847672</v>
      </c>
      <c r="S31" s="10">
        <f t="shared" si="2"/>
        <v>1721.9470311002258</v>
      </c>
      <c r="T31" s="77">
        <f t="shared" si="3"/>
        <v>7.8729265525722731E-5</v>
      </c>
      <c r="U31" s="76"/>
    </row>
    <row r="32" spans="1:21" ht="18" customHeight="1" x14ac:dyDescent="0.2">
      <c r="A32" s="2" t="s">
        <v>30</v>
      </c>
      <c r="B32" s="100">
        <f>INDEX('2017 CP'!$B$8:$V$43,MATCH($A32,'2017 CP'!$B$8:$B$43,0),MATCH(B$13,'2017 CP'!$B$8:$V$8,0))</f>
        <v>7960.3007803528017</v>
      </c>
      <c r="C32" s="14">
        <v>1.0000000000000011</v>
      </c>
      <c r="D32" s="14">
        <v>0</v>
      </c>
      <c r="E32" s="14">
        <v>0</v>
      </c>
      <c r="F32" s="14">
        <v>1.0218365995754572</v>
      </c>
      <c r="G32" s="14">
        <v>1.0348230509591971</v>
      </c>
      <c r="H32" s="14">
        <v>1.0644101236847672</v>
      </c>
      <c r="I32" s="10">
        <f t="shared" si="0"/>
        <v>8134.1266809935751</v>
      </c>
      <c r="J32" s="77">
        <f t="shared" si="1"/>
        <v>3.6385659220836516E-4</v>
      </c>
      <c r="K32" s="2"/>
      <c r="L32" s="10">
        <f>INDEX('2017 CP'!$B$8:$V$43,MATCH($A32,'2017 CP'!$B$8:$B$43,0),MATCH(L$13,'2017 CP'!$B$8:$V$8,0))</f>
        <v>8572.667845160282</v>
      </c>
      <c r="M32" s="14">
        <v>1.0000000000000011</v>
      </c>
      <c r="N32" s="14">
        <v>0</v>
      </c>
      <c r="O32" s="14">
        <v>0</v>
      </c>
      <c r="P32" s="14">
        <v>1.0218365995754572</v>
      </c>
      <c r="Q32" s="14">
        <v>1.0348230509591971</v>
      </c>
      <c r="R32" s="14">
        <v>1.0644101236847672</v>
      </c>
      <c r="S32" s="10">
        <f t="shared" si="2"/>
        <v>8759.8657601884552</v>
      </c>
      <c r="T32" s="77">
        <f t="shared" si="3"/>
        <v>4.0051045993146024E-4</v>
      </c>
      <c r="U32" s="76"/>
    </row>
    <row r="33" spans="1:21" ht="18" customHeight="1" x14ac:dyDescent="0.2">
      <c r="B33" s="10"/>
      <c r="C33" s="14"/>
      <c r="D33" s="14"/>
      <c r="E33" s="14"/>
      <c r="F33" s="14"/>
      <c r="G33" s="14"/>
      <c r="H33" s="14"/>
      <c r="I33" s="10"/>
      <c r="J33" s="77"/>
      <c r="K33" s="2"/>
      <c r="L33" s="10"/>
      <c r="M33" s="14"/>
      <c r="N33" s="14"/>
      <c r="O33" s="14"/>
      <c r="P33" s="14"/>
      <c r="Q33" s="14"/>
      <c r="R33" s="14"/>
      <c r="S33" s="10"/>
      <c r="T33" s="77"/>
      <c r="U33" s="76"/>
    </row>
    <row r="34" spans="1:21" ht="18" customHeight="1" x14ac:dyDescent="0.2">
      <c r="B34" s="3"/>
      <c r="C34" s="14"/>
      <c r="D34" s="14"/>
      <c r="E34" s="14"/>
      <c r="F34" s="14"/>
      <c r="G34" s="14"/>
      <c r="H34" s="14"/>
      <c r="J34" s="77"/>
      <c r="K34" s="2"/>
      <c r="M34" s="14"/>
      <c r="N34" s="14"/>
      <c r="O34" s="14"/>
      <c r="P34" s="14"/>
      <c r="Q34" s="14"/>
      <c r="R34" s="14"/>
      <c r="S34" s="3"/>
      <c r="T34" s="77"/>
      <c r="U34" s="76"/>
    </row>
    <row r="35" spans="1:21" ht="18" customHeight="1" thickBot="1" x14ac:dyDescent="0.25">
      <c r="A35" s="2" t="s">
        <v>173</v>
      </c>
      <c r="B35" s="13">
        <f>SUM(B16:B34)</f>
        <v>21021151.837068532</v>
      </c>
      <c r="C35" s="14"/>
      <c r="D35" s="14"/>
      <c r="E35" s="14"/>
      <c r="F35" s="14"/>
      <c r="G35" s="14"/>
      <c r="H35" s="14"/>
      <c r="I35" s="13">
        <f>SUM(I16:I34)</f>
        <v>22355309.358626399</v>
      </c>
      <c r="J35" s="78">
        <f>SUM(J16:J33)</f>
        <v>0.99999999999999989</v>
      </c>
      <c r="K35" s="2"/>
      <c r="L35" s="13">
        <f>SUM(L16:L34)</f>
        <v>20566626.074412227</v>
      </c>
      <c r="M35" s="14"/>
      <c r="N35" s="14"/>
      <c r="O35" s="14"/>
      <c r="P35" s="14"/>
      <c r="Q35" s="14"/>
      <c r="R35" s="14"/>
      <c r="S35" s="13">
        <f>SUM(S16:S34)</f>
        <v>21871752.766925339</v>
      </c>
      <c r="T35" s="78">
        <f>SUM(T16:T33)</f>
        <v>1</v>
      </c>
      <c r="U35" s="76"/>
    </row>
    <row r="36" spans="1:21" ht="15" customHeight="1" thickTop="1" x14ac:dyDescent="0.2">
      <c r="A36" s="93" t="s">
        <v>327</v>
      </c>
      <c r="B36" s="167">
        <f>B35-'2017 CP'!S27</f>
        <v>0</v>
      </c>
      <c r="E36" s="14"/>
      <c r="F36" s="14"/>
      <c r="H36" s="14"/>
      <c r="I36" s="14"/>
      <c r="J36" s="14"/>
      <c r="K36" s="14"/>
      <c r="L36" s="167">
        <f>L35-'2017 CP'!U27</f>
        <v>0</v>
      </c>
      <c r="P36" s="15"/>
    </row>
    <row r="37" spans="1:21" ht="15" customHeight="1" x14ac:dyDescent="0.2">
      <c r="A37" s="16"/>
    </row>
    <row r="38" spans="1:21" ht="15" customHeight="1" x14ac:dyDescent="0.2">
      <c r="A38" s="16" t="s">
        <v>177</v>
      </c>
      <c r="C38" s="2"/>
      <c r="H38" s="2"/>
      <c r="I38" s="2"/>
      <c r="J38" s="2"/>
    </row>
    <row r="39" spans="1:21" ht="15" customHeight="1" x14ac:dyDescent="0.2">
      <c r="A39" s="18" t="s">
        <v>326</v>
      </c>
      <c r="C39" s="2"/>
      <c r="H39" s="2"/>
      <c r="I39" s="2"/>
      <c r="J39" s="2"/>
    </row>
    <row r="40" spans="1:21" ht="15" customHeight="1" x14ac:dyDescent="0.2">
      <c r="A40" s="18" t="s">
        <v>194</v>
      </c>
      <c r="C40" s="2"/>
      <c r="H40" s="2"/>
      <c r="I40" s="2"/>
      <c r="J40" s="2"/>
    </row>
    <row r="41" spans="1:21" ht="15" customHeight="1" x14ac:dyDescent="0.2">
      <c r="A41" s="18" t="s">
        <v>178</v>
      </c>
      <c r="C41" s="2"/>
      <c r="H41" s="2"/>
      <c r="I41" s="2"/>
      <c r="J41" s="2"/>
    </row>
    <row r="42" spans="1:21" ht="15" customHeight="1" x14ac:dyDescent="0.2">
      <c r="A42" s="19" t="s">
        <v>176</v>
      </c>
      <c r="C42" s="2"/>
      <c r="H42" s="2"/>
      <c r="I42" s="2"/>
      <c r="J42" s="2"/>
    </row>
    <row r="43" spans="1:21" ht="15" customHeight="1" x14ac:dyDescent="0.2">
      <c r="C43" s="2"/>
      <c r="H43" s="2"/>
      <c r="I43" s="2"/>
      <c r="J43" s="2"/>
    </row>
    <row r="44" spans="1:21" ht="15" customHeight="1" x14ac:dyDescent="0.2">
      <c r="C44" s="2"/>
      <c r="H44" s="2"/>
      <c r="I44" s="2"/>
      <c r="J44" s="2"/>
    </row>
    <row r="45" spans="1:21" ht="15" customHeight="1" x14ac:dyDescent="0.2">
      <c r="C45" s="2"/>
    </row>
  </sheetData>
  <mergeCells count="8">
    <mergeCell ref="A4:U4"/>
    <mergeCell ref="A5:U5"/>
    <mergeCell ref="B12:J12"/>
    <mergeCell ref="L12:T12"/>
    <mergeCell ref="C13:E13"/>
    <mergeCell ref="F13:H13"/>
    <mergeCell ref="M13:O13"/>
    <mergeCell ref="P13:R13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V49"/>
  <sheetViews>
    <sheetView zoomScale="75" zoomScaleNormal="75" workbookViewId="0">
      <selection activeCell="A2" sqref="A2"/>
    </sheetView>
  </sheetViews>
  <sheetFormatPr defaultColWidth="9.140625" defaultRowHeight="14.25" x14ac:dyDescent="0.2"/>
  <cols>
    <col min="1" max="1" width="17.140625" style="121" customWidth="1"/>
    <col min="2" max="2" width="24" style="123" customWidth="1"/>
    <col min="3" max="3" width="51" style="123" customWidth="1"/>
    <col min="4" max="9" width="14.5703125" style="123" bestFit="1" customWidth="1"/>
    <col min="10" max="11" width="15.28515625" style="123" bestFit="1" customWidth="1"/>
    <col min="12" max="13" width="14.5703125" style="123" bestFit="1" customWidth="1"/>
    <col min="14" max="14" width="14.28515625" style="123" bestFit="1" customWidth="1"/>
    <col min="15" max="15" width="14.5703125" style="123" bestFit="1" customWidth="1"/>
    <col min="16" max="16" width="16.7109375" style="123" bestFit="1" customWidth="1"/>
    <col min="17" max="17" width="14.5703125" style="123" bestFit="1" customWidth="1"/>
    <col min="18" max="18" width="10.7109375" style="123" customWidth="1"/>
    <col min="19" max="19" width="14.28515625" style="123" bestFit="1" customWidth="1"/>
    <col min="20" max="20" width="9.5703125" style="123" bestFit="1" customWidth="1"/>
    <col min="21" max="21" width="15.42578125" style="123" bestFit="1" customWidth="1"/>
    <col min="22" max="22" width="10.7109375" style="123" customWidth="1"/>
    <col min="23" max="16384" width="9.140625" style="123"/>
  </cols>
  <sheetData>
    <row r="1" spans="1:22" s="126" customFormat="1" ht="15" x14ac:dyDescent="0.25">
      <c r="A1" s="223" t="s">
        <v>375</v>
      </c>
      <c r="B1" s="224"/>
    </row>
    <row r="2" spans="1:22" s="126" customFormat="1" ht="15" x14ac:dyDescent="0.25">
      <c r="A2" s="223" t="s">
        <v>364</v>
      </c>
      <c r="B2" s="224"/>
    </row>
    <row r="3" spans="1:22" s="126" customFormat="1" ht="15" x14ac:dyDescent="0.25">
      <c r="A3" s="223"/>
    </row>
    <row r="4" spans="1:22" ht="22.5" customHeight="1" x14ac:dyDescent="0.25">
      <c r="B4" s="122" t="s">
        <v>334</v>
      </c>
      <c r="O4" s="124"/>
      <c r="P4" s="124"/>
      <c r="U4" s="125"/>
    </row>
    <row r="5" spans="1:22" ht="22.5" customHeight="1" x14ac:dyDescent="0.25">
      <c r="B5" s="126" t="s">
        <v>263</v>
      </c>
      <c r="O5" s="124"/>
      <c r="P5" s="124"/>
    </row>
    <row r="6" spans="1:22" x14ac:dyDescent="0.2">
      <c r="H6" s="124"/>
      <c r="J6" s="124"/>
      <c r="K6" s="124"/>
      <c r="L6" s="124"/>
      <c r="M6" s="124"/>
      <c r="N6" s="124"/>
      <c r="O6" s="124"/>
      <c r="P6" s="124"/>
    </row>
    <row r="7" spans="1:22" ht="15" thickBot="1" x14ac:dyDescent="0.25"/>
    <row r="8" spans="1:22" ht="22.5" customHeight="1" thickBot="1" x14ac:dyDescent="0.3">
      <c r="A8" s="121" t="s">
        <v>264</v>
      </c>
      <c r="B8" s="248" t="s">
        <v>265</v>
      </c>
      <c r="C8" s="249"/>
      <c r="D8" s="127" t="s">
        <v>266</v>
      </c>
      <c r="E8" s="127" t="s">
        <v>267</v>
      </c>
      <c r="F8" s="127" t="s">
        <v>268</v>
      </c>
      <c r="G8" s="128" t="s">
        <v>269</v>
      </c>
      <c r="H8" s="128" t="s">
        <v>270</v>
      </c>
      <c r="I8" s="128" t="s">
        <v>271</v>
      </c>
      <c r="J8" s="128" t="s">
        <v>272</v>
      </c>
      <c r="K8" s="128" t="s">
        <v>273</v>
      </c>
      <c r="L8" s="128" t="s">
        <v>274</v>
      </c>
      <c r="M8" s="128" t="s">
        <v>275</v>
      </c>
      <c r="N8" s="127" t="s">
        <v>276</v>
      </c>
      <c r="O8" s="129" t="s">
        <v>277</v>
      </c>
      <c r="P8" s="130" t="s">
        <v>278</v>
      </c>
      <c r="Q8" s="131" t="s">
        <v>179</v>
      </c>
      <c r="R8" s="132" t="s">
        <v>333</v>
      </c>
      <c r="S8" s="131" t="s">
        <v>314</v>
      </c>
      <c r="T8" s="132" t="s">
        <v>317</v>
      </c>
      <c r="U8" s="131" t="s">
        <v>315</v>
      </c>
      <c r="V8" s="132" t="s">
        <v>318</v>
      </c>
    </row>
    <row r="9" spans="1:22" ht="20.25" customHeight="1" x14ac:dyDescent="0.25">
      <c r="B9" s="133" t="s">
        <v>279</v>
      </c>
      <c r="C9" s="134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6"/>
      <c r="P9" s="136"/>
      <c r="Q9" s="137"/>
      <c r="R9" s="138"/>
      <c r="S9" s="137"/>
      <c r="T9" s="138"/>
      <c r="U9" s="137"/>
      <c r="V9" s="138"/>
    </row>
    <row r="10" spans="1:22" ht="20.25" customHeight="1" x14ac:dyDescent="0.2">
      <c r="A10" s="121" t="str">
        <f>CONCATENATE($B10," -",TRIM($U$4))</f>
        <v>CILC-1D -</v>
      </c>
      <c r="B10" s="139" t="s">
        <v>5</v>
      </c>
      <c r="C10" s="140" t="s">
        <v>280</v>
      </c>
      <c r="D10" s="141">
        <v>351000.37866978702</v>
      </c>
      <c r="E10" s="141">
        <v>358128.25210010499</v>
      </c>
      <c r="F10" s="141">
        <v>327958.00679821603</v>
      </c>
      <c r="G10" s="141">
        <v>354982.97042087599</v>
      </c>
      <c r="H10" s="141">
        <v>353939.09136079898</v>
      </c>
      <c r="I10" s="141">
        <v>369471.11785726098</v>
      </c>
      <c r="J10" s="141">
        <v>363695.121518214</v>
      </c>
      <c r="K10" s="141">
        <v>374801.57500193903</v>
      </c>
      <c r="L10" s="141">
        <v>349004.189681363</v>
      </c>
      <c r="M10" s="141">
        <v>340131.66518882598</v>
      </c>
      <c r="N10" s="141">
        <v>335132.85716012301</v>
      </c>
      <c r="O10" s="141">
        <v>339754.88771061</v>
      </c>
      <c r="P10" s="142">
        <f>SUM(D10:O10)</f>
        <v>4218000.1134681199</v>
      </c>
      <c r="Q10" s="143">
        <f>+P10/12</f>
        <v>351500.00945567666</v>
      </c>
      <c r="R10" s="144">
        <f t="shared" ref="R10:R27" si="0">+Q10/$Q$41</f>
        <v>1.7775808918741663E-2</v>
      </c>
      <c r="S10" s="143">
        <f>AVERAGE(I10:L10)</f>
        <v>364243.00101469428</v>
      </c>
      <c r="T10" s="144">
        <f>+S10/$S$41</f>
        <v>1.6460614831495197E-2</v>
      </c>
      <c r="U10" s="143">
        <f>AVERAGE(I10:L10,D10)</f>
        <v>361594.47654571279</v>
      </c>
      <c r="V10" s="144">
        <f>+U10/$U$41</f>
        <v>1.6672866237333498E-2</v>
      </c>
    </row>
    <row r="11" spans="1:22" ht="20.25" customHeight="1" x14ac:dyDescent="0.2">
      <c r="A11" s="121" t="str">
        <f t="shared" ref="A11:A26" si="1">CONCATENATE($B11," -",TRIM($U$4))</f>
        <v>CILC-1G -</v>
      </c>
      <c r="B11" s="139" t="s">
        <v>6</v>
      </c>
      <c r="C11" s="140" t="s">
        <v>281</v>
      </c>
      <c r="D11" s="141">
        <v>13645.7725449462</v>
      </c>
      <c r="E11" s="141">
        <v>13936.239470095001</v>
      </c>
      <c r="F11" s="141">
        <v>12859.643398289199</v>
      </c>
      <c r="G11" s="141">
        <v>13616.460609634099</v>
      </c>
      <c r="H11" s="141">
        <v>13946.745889432999</v>
      </c>
      <c r="I11" s="141">
        <v>14231.4171624849</v>
      </c>
      <c r="J11" s="141">
        <v>14032.6156967194</v>
      </c>
      <c r="K11" s="141">
        <v>14490.6676495674</v>
      </c>
      <c r="L11" s="141">
        <v>13506.4206537997</v>
      </c>
      <c r="M11" s="141">
        <v>13295.0192720552</v>
      </c>
      <c r="N11" s="141">
        <v>12652.250514773499</v>
      </c>
      <c r="O11" s="141">
        <v>12972.463396441201</v>
      </c>
      <c r="P11" s="142">
        <f t="shared" ref="P11:P26" si="2">SUM(D11:O11)</f>
        <v>163185.7162582388</v>
      </c>
      <c r="Q11" s="143">
        <f>+P11/12</f>
        <v>13598.809688186566</v>
      </c>
      <c r="R11" s="144">
        <f t="shared" si="0"/>
        <v>6.8770934861103858E-4</v>
      </c>
      <c r="S11" s="143">
        <f>AVERAGE(I11:L11)</f>
        <v>14065.28029064285</v>
      </c>
      <c r="T11" s="144">
        <f t="shared" ref="T11:T27" si="3">+S11/$S$41</f>
        <v>6.3562830504999238E-4</v>
      </c>
      <c r="U11" s="143">
        <f>AVERAGE(I11:L11,D11)</f>
        <v>13981.378741503519</v>
      </c>
      <c r="V11" s="144">
        <f>+U11/$U$41</f>
        <v>6.4467151101827347E-4</v>
      </c>
    </row>
    <row r="12" spans="1:22" ht="20.25" customHeight="1" x14ac:dyDescent="0.2">
      <c r="A12" s="121" t="str">
        <f t="shared" si="1"/>
        <v>CILC-1T -</v>
      </c>
      <c r="B12" s="139" t="s">
        <v>7</v>
      </c>
      <c r="C12" s="140" t="s">
        <v>282</v>
      </c>
      <c r="D12" s="141">
        <v>178852.24083774301</v>
      </c>
      <c r="E12" s="141">
        <v>189290.05634278501</v>
      </c>
      <c r="F12" s="141">
        <v>193496.58709987701</v>
      </c>
      <c r="G12" s="141">
        <v>184831.04845615901</v>
      </c>
      <c r="H12" s="141">
        <v>195727.92408728501</v>
      </c>
      <c r="I12" s="141">
        <v>190998.605576086</v>
      </c>
      <c r="J12" s="141">
        <v>189712.08371504801</v>
      </c>
      <c r="K12" s="141">
        <v>192960.41908782101</v>
      </c>
      <c r="L12" s="141">
        <v>182861.81965559701</v>
      </c>
      <c r="M12" s="141">
        <v>179760.86998770901</v>
      </c>
      <c r="N12" s="141">
        <v>190498.51048112</v>
      </c>
      <c r="O12" s="141">
        <v>191466.14406975199</v>
      </c>
      <c r="P12" s="142">
        <f t="shared" si="2"/>
        <v>2260456.3093969822</v>
      </c>
      <c r="Q12" s="143">
        <f t="shared" ref="Q12:Q26" si="4">+P12/12</f>
        <v>188371.35911641517</v>
      </c>
      <c r="R12" s="144">
        <f t="shared" si="0"/>
        <v>9.5261826325478208E-3</v>
      </c>
      <c r="S12" s="143">
        <f t="shared" ref="S12:S26" si="5">AVERAGE(I12:L12)</f>
        <v>189133.23200863801</v>
      </c>
      <c r="T12" s="144">
        <f t="shared" si="3"/>
        <v>8.5471766794618913E-3</v>
      </c>
      <c r="U12" s="143">
        <f t="shared" ref="U12:U26" si="6">AVERAGE(I12:L12,D12)</f>
        <v>187077.03377445901</v>
      </c>
      <c r="V12" s="144">
        <f t="shared" ref="V12:V26" si="7">+U12/$U$41</f>
        <v>8.6259900593485921E-3</v>
      </c>
    </row>
    <row r="13" spans="1:22" ht="20.25" customHeight="1" x14ac:dyDescent="0.2">
      <c r="A13" s="121" t="str">
        <f t="shared" si="1"/>
        <v>GS(T)-1 -</v>
      </c>
      <c r="B13" s="139" t="s">
        <v>171</v>
      </c>
      <c r="C13" s="140" t="s">
        <v>283</v>
      </c>
      <c r="D13" s="141">
        <v>690435.11929748196</v>
      </c>
      <c r="E13" s="141">
        <v>1030289.34118027</v>
      </c>
      <c r="F13" s="141">
        <v>673345.55329974298</v>
      </c>
      <c r="G13" s="141">
        <v>1044816.72210973</v>
      </c>
      <c r="H13" s="141">
        <v>1147444.7112888501</v>
      </c>
      <c r="I13" s="141">
        <v>1284691.1998368199</v>
      </c>
      <c r="J13" s="141">
        <v>1276891.6350632301</v>
      </c>
      <c r="K13" s="141">
        <v>1301605.0352423999</v>
      </c>
      <c r="L13" s="141">
        <v>1150580.42644792</v>
      </c>
      <c r="M13" s="141">
        <v>1105363.5614143</v>
      </c>
      <c r="N13" s="141">
        <v>1004601.34256851</v>
      </c>
      <c r="O13" s="141">
        <v>894691.81005967199</v>
      </c>
      <c r="P13" s="142">
        <f t="shared" si="2"/>
        <v>12604756.457808927</v>
      </c>
      <c r="Q13" s="143">
        <f t="shared" si="4"/>
        <v>1050396.3714840773</v>
      </c>
      <c r="R13" s="144">
        <f t="shared" si="0"/>
        <v>5.3119899533871834E-2</v>
      </c>
      <c r="S13" s="143">
        <f t="shared" si="5"/>
        <v>1253442.0741475923</v>
      </c>
      <c r="T13" s="144">
        <f t="shared" si="3"/>
        <v>5.6644677148653323E-2</v>
      </c>
      <c r="U13" s="143">
        <f t="shared" si="6"/>
        <v>1140840.6831775703</v>
      </c>
      <c r="V13" s="144">
        <f t="shared" si="7"/>
        <v>5.2603359128808889E-2</v>
      </c>
    </row>
    <row r="14" spans="1:22" ht="20.25" customHeight="1" x14ac:dyDescent="0.2">
      <c r="A14" s="121" t="str">
        <f t="shared" si="1"/>
        <v>GSCU-1 -</v>
      </c>
      <c r="B14" s="139" t="s">
        <v>12</v>
      </c>
      <c r="C14" s="140" t="s">
        <v>284</v>
      </c>
      <c r="D14" s="141">
        <v>8352.8539200334908</v>
      </c>
      <c r="E14" s="141">
        <v>8860.3776257772497</v>
      </c>
      <c r="F14" s="141">
        <v>8742.8267835383303</v>
      </c>
      <c r="G14" s="141">
        <v>8468.2799514540202</v>
      </c>
      <c r="H14" s="141">
        <v>8621.2777955205693</v>
      </c>
      <c r="I14" s="141">
        <v>8522.1015543055491</v>
      </c>
      <c r="J14" s="141">
        <v>8353.0878575373499</v>
      </c>
      <c r="K14" s="141">
        <v>8632.5264881241692</v>
      </c>
      <c r="L14" s="141">
        <v>8221.7622851179894</v>
      </c>
      <c r="M14" s="141">
        <v>8038.8294890103398</v>
      </c>
      <c r="N14" s="141">
        <v>8015.6269969838904</v>
      </c>
      <c r="O14" s="141">
        <v>8096.1239266821203</v>
      </c>
      <c r="P14" s="142">
        <f t="shared" si="2"/>
        <v>100925.67467408506</v>
      </c>
      <c r="Q14" s="143">
        <f t="shared" si="4"/>
        <v>8410.4728895070893</v>
      </c>
      <c r="R14" s="144">
        <f t="shared" si="0"/>
        <v>4.2532846366533902E-4</v>
      </c>
      <c r="S14" s="143">
        <f t="shared" si="5"/>
        <v>8432.369546271264</v>
      </c>
      <c r="T14" s="144">
        <f t="shared" si="3"/>
        <v>3.8106974418542541E-4</v>
      </c>
      <c r="U14" s="143">
        <f t="shared" si="6"/>
        <v>8416.4664210237097</v>
      </c>
      <c r="V14" s="144">
        <f t="shared" si="7"/>
        <v>3.8807732952468702E-4</v>
      </c>
    </row>
    <row r="15" spans="1:22" ht="20.25" customHeight="1" x14ac:dyDescent="0.2">
      <c r="A15" s="121" t="str">
        <f t="shared" si="1"/>
        <v>GSD(T)-1 -</v>
      </c>
      <c r="B15" s="139" t="s">
        <v>170</v>
      </c>
      <c r="C15" s="140" t="s">
        <v>285</v>
      </c>
      <c r="D15" s="141">
        <v>3362575.2765178899</v>
      </c>
      <c r="E15" s="141">
        <v>3953078.4876331901</v>
      </c>
      <c r="F15" s="141">
        <v>3268319.8797396501</v>
      </c>
      <c r="G15" s="141">
        <v>3980507.3447427899</v>
      </c>
      <c r="H15" s="141">
        <v>4312247.8405454103</v>
      </c>
      <c r="I15" s="141">
        <v>4532136.6616655299</v>
      </c>
      <c r="J15" s="141">
        <v>4577448.1519403802</v>
      </c>
      <c r="K15" s="141">
        <v>4580866.8392105903</v>
      </c>
      <c r="L15" s="141">
        <v>4296189.6638591802</v>
      </c>
      <c r="M15" s="141">
        <v>4209398.5500161797</v>
      </c>
      <c r="N15" s="141">
        <v>3947219.33449313</v>
      </c>
      <c r="O15" s="141">
        <v>3716440.6519252099</v>
      </c>
      <c r="P15" s="142">
        <f t="shared" si="2"/>
        <v>48736428.682289124</v>
      </c>
      <c r="Q15" s="143">
        <f t="shared" si="4"/>
        <v>4061369.0568574271</v>
      </c>
      <c r="R15" s="144">
        <f t="shared" si="0"/>
        <v>0.20538867243555844</v>
      </c>
      <c r="S15" s="143">
        <f t="shared" si="5"/>
        <v>4496660.3291689204</v>
      </c>
      <c r="T15" s="144">
        <f t="shared" si="3"/>
        <v>0.20320992716488184</v>
      </c>
      <c r="U15" s="143">
        <f t="shared" si="6"/>
        <v>4269843.318638714</v>
      </c>
      <c r="V15" s="144">
        <f t="shared" si="7"/>
        <v>0.1968794633870341</v>
      </c>
    </row>
    <row r="16" spans="1:22" ht="20.25" customHeight="1" x14ac:dyDescent="0.2">
      <c r="A16" s="121" t="str">
        <f t="shared" si="1"/>
        <v>GSLD(T)-1 -</v>
      </c>
      <c r="B16" s="139" t="s">
        <v>172</v>
      </c>
      <c r="C16" s="140" t="s">
        <v>286</v>
      </c>
      <c r="D16" s="141">
        <v>1449211.62000789</v>
      </c>
      <c r="E16" s="141">
        <v>1683725.0889840899</v>
      </c>
      <c r="F16" s="141">
        <v>1408669.38743403</v>
      </c>
      <c r="G16" s="141">
        <v>1628384.3636122399</v>
      </c>
      <c r="H16" s="141">
        <v>1723075.0292903299</v>
      </c>
      <c r="I16" s="141">
        <v>1810940.9433669001</v>
      </c>
      <c r="J16" s="141">
        <v>1740529.63821735</v>
      </c>
      <c r="K16" s="141">
        <v>1796240.7140385199</v>
      </c>
      <c r="L16" s="141">
        <v>1625362.71704015</v>
      </c>
      <c r="M16" s="141">
        <v>1731713.4475170099</v>
      </c>
      <c r="N16" s="141">
        <v>1587463.43311328</v>
      </c>
      <c r="O16" s="141">
        <v>1508128.16428799</v>
      </c>
      <c r="P16" s="142">
        <f t="shared" si="2"/>
        <v>19693444.546909779</v>
      </c>
      <c r="Q16" s="143">
        <f t="shared" si="4"/>
        <v>1641120.3789091483</v>
      </c>
      <c r="R16" s="144">
        <f t="shared" si="0"/>
        <v>8.299357463266438E-2</v>
      </c>
      <c r="S16" s="143">
        <f t="shared" si="5"/>
        <v>1743268.5031657298</v>
      </c>
      <c r="T16" s="144">
        <f t="shared" si="3"/>
        <v>7.8780570384468757E-2</v>
      </c>
      <c r="U16" s="143">
        <f t="shared" si="6"/>
        <v>1684457.1265341616</v>
      </c>
      <c r="V16" s="144">
        <f t="shared" si="7"/>
        <v>7.7669129853748603E-2</v>
      </c>
    </row>
    <row r="17" spans="1:22" ht="20.25" customHeight="1" x14ac:dyDescent="0.2">
      <c r="A17" s="121" t="str">
        <f t="shared" si="1"/>
        <v>GSLD(T)-2 -</v>
      </c>
      <c r="B17" s="139" t="s">
        <v>174</v>
      </c>
      <c r="C17" s="140" t="s">
        <v>287</v>
      </c>
      <c r="D17" s="141">
        <v>304414.73301151401</v>
      </c>
      <c r="E17" s="141">
        <v>341313.11696927698</v>
      </c>
      <c r="F17" s="141">
        <v>307160.07203963498</v>
      </c>
      <c r="G17" s="141">
        <v>318277.76334183902</v>
      </c>
      <c r="H17" s="141">
        <v>332368.70722610701</v>
      </c>
      <c r="I17" s="141">
        <v>334118.64343380701</v>
      </c>
      <c r="J17" s="141">
        <v>343695.61483775399</v>
      </c>
      <c r="K17" s="141">
        <v>348213.09332111198</v>
      </c>
      <c r="L17" s="141">
        <v>327397.87495494401</v>
      </c>
      <c r="M17" s="141">
        <v>324989.522390845</v>
      </c>
      <c r="N17" s="141">
        <v>329465.542789092</v>
      </c>
      <c r="O17" s="141">
        <v>327815.58426520397</v>
      </c>
      <c r="P17" s="142">
        <f t="shared" si="2"/>
        <v>3939230.2685811301</v>
      </c>
      <c r="Q17" s="143">
        <f t="shared" si="4"/>
        <v>328269.18904842751</v>
      </c>
      <c r="R17" s="144">
        <f t="shared" si="0"/>
        <v>1.6600996362621558E-2</v>
      </c>
      <c r="S17" s="143">
        <f t="shared" si="5"/>
        <v>338356.30663690425</v>
      </c>
      <c r="T17" s="144">
        <f t="shared" si="3"/>
        <v>1.5290761452771681E-2</v>
      </c>
      <c r="U17" s="143">
        <f t="shared" si="6"/>
        <v>331567.99191182619</v>
      </c>
      <c r="V17" s="144">
        <f t="shared" si="7"/>
        <v>1.5288366212165519E-2</v>
      </c>
    </row>
    <row r="18" spans="1:22" ht="20.25" customHeight="1" x14ac:dyDescent="0.2">
      <c r="A18" s="121" t="str">
        <f t="shared" si="1"/>
        <v>GSLD(T)-3 -</v>
      </c>
      <c r="B18" s="139" t="s">
        <v>175</v>
      </c>
      <c r="C18" s="140" t="s">
        <v>288</v>
      </c>
      <c r="D18" s="141">
        <v>22547.5704110523</v>
      </c>
      <c r="E18" s="141">
        <v>26266.714924727901</v>
      </c>
      <c r="F18" s="141">
        <v>25229.469293304101</v>
      </c>
      <c r="G18" s="141">
        <v>26902.331975982601</v>
      </c>
      <c r="H18" s="141">
        <v>24667.327802092099</v>
      </c>
      <c r="I18" s="141">
        <v>26454.1676459558</v>
      </c>
      <c r="J18" s="141">
        <v>22570.855019134498</v>
      </c>
      <c r="K18" s="141">
        <v>25511.756068010702</v>
      </c>
      <c r="L18" s="141">
        <v>18869.642691458299</v>
      </c>
      <c r="M18" s="141">
        <v>21152.258917688199</v>
      </c>
      <c r="N18" s="141">
        <v>17547.553015282199</v>
      </c>
      <c r="O18" s="141">
        <v>17057.493803457401</v>
      </c>
      <c r="P18" s="142">
        <f t="shared" si="2"/>
        <v>274777.14156814606</v>
      </c>
      <c r="Q18" s="143">
        <f t="shared" si="4"/>
        <v>22898.095130678837</v>
      </c>
      <c r="R18" s="144">
        <f t="shared" si="0"/>
        <v>1.1579862096630805E-3</v>
      </c>
      <c r="S18" s="143">
        <f t="shared" si="5"/>
        <v>23351.605356139826</v>
      </c>
      <c r="T18" s="144">
        <f t="shared" si="3"/>
        <v>1.0552894095252395E-3</v>
      </c>
      <c r="U18" s="143">
        <f t="shared" si="6"/>
        <v>23190.798367122323</v>
      </c>
      <c r="V18" s="144">
        <f t="shared" si="7"/>
        <v>1.0693113534413221E-3</v>
      </c>
    </row>
    <row r="19" spans="1:22" ht="20.25" customHeight="1" x14ac:dyDescent="0.2">
      <c r="A19" s="121" t="str">
        <f t="shared" si="1"/>
        <v>MET -</v>
      </c>
      <c r="B19" s="139" t="s">
        <v>20</v>
      </c>
      <c r="C19" s="140" t="s">
        <v>289</v>
      </c>
      <c r="D19" s="141">
        <v>15650.6044027183</v>
      </c>
      <c r="E19" s="141">
        <v>13736.1156323997</v>
      </c>
      <c r="F19" s="141">
        <v>12171.5196223167</v>
      </c>
      <c r="G19" s="141">
        <v>15688.6344592608</v>
      </c>
      <c r="H19" s="141">
        <v>15907.9772501348</v>
      </c>
      <c r="I19" s="141">
        <v>15136.293279399</v>
      </c>
      <c r="J19" s="141">
        <v>15595.228820591199</v>
      </c>
      <c r="K19" s="141">
        <v>16326.2422952164</v>
      </c>
      <c r="L19" s="141">
        <v>14018.461990309201</v>
      </c>
      <c r="M19" s="141">
        <v>13866.1576001592</v>
      </c>
      <c r="N19" s="141">
        <v>13699.774935952501</v>
      </c>
      <c r="O19" s="141">
        <v>12165.3054585112</v>
      </c>
      <c r="P19" s="142">
        <f t="shared" si="2"/>
        <v>173962.31574696902</v>
      </c>
      <c r="Q19" s="143">
        <f t="shared" si="4"/>
        <v>14496.859645580751</v>
      </c>
      <c r="R19" s="144">
        <f t="shared" si="0"/>
        <v>7.3312489345510237E-4</v>
      </c>
      <c r="S19" s="143">
        <f t="shared" si="5"/>
        <v>15269.05659637895</v>
      </c>
      <c r="T19" s="144">
        <f t="shared" si="3"/>
        <v>6.9002852154503164E-4</v>
      </c>
      <c r="U19" s="143">
        <f t="shared" si="6"/>
        <v>15345.36615764682</v>
      </c>
      <c r="V19" s="144">
        <f t="shared" si="7"/>
        <v>7.0756400859183204E-4</v>
      </c>
    </row>
    <row r="20" spans="1:22" ht="20.25" customHeight="1" x14ac:dyDescent="0.2">
      <c r="A20" s="121" t="str">
        <f t="shared" si="1"/>
        <v>OL-1 -</v>
      </c>
      <c r="B20" s="139" t="s">
        <v>21</v>
      </c>
      <c r="C20" s="140" t="s">
        <v>166</v>
      </c>
      <c r="D20" s="141">
        <v>8961.4925571552503</v>
      </c>
      <c r="E20" s="141">
        <v>0</v>
      </c>
      <c r="F20" s="141">
        <v>0</v>
      </c>
      <c r="G20" s="141">
        <v>0</v>
      </c>
      <c r="H20" s="141">
        <v>0</v>
      </c>
      <c r="I20" s="141">
        <v>0</v>
      </c>
      <c r="J20" s="141">
        <v>0</v>
      </c>
      <c r="K20" s="141">
        <v>0</v>
      </c>
      <c r="L20" s="141">
        <v>0</v>
      </c>
      <c r="M20" s="141">
        <v>0</v>
      </c>
      <c r="N20" s="141">
        <v>6711.2263144518602</v>
      </c>
      <c r="O20" s="141">
        <v>6640.3385485209301</v>
      </c>
      <c r="P20" s="142">
        <f t="shared" si="2"/>
        <v>22313.05742012804</v>
      </c>
      <c r="Q20" s="143">
        <f t="shared" si="4"/>
        <v>1859.4214516773366</v>
      </c>
      <c r="R20" s="144">
        <f t="shared" si="0"/>
        <v>9.4033341494386059E-5</v>
      </c>
      <c r="S20" s="143">
        <f t="shared" si="5"/>
        <v>0</v>
      </c>
      <c r="T20" s="144">
        <f t="shared" si="3"/>
        <v>0</v>
      </c>
      <c r="U20" s="143">
        <f t="shared" si="6"/>
        <v>1792.29851143105</v>
      </c>
      <c r="V20" s="144">
        <f t="shared" si="7"/>
        <v>8.264162003781067E-5</v>
      </c>
    </row>
    <row r="21" spans="1:22" ht="20.25" customHeight="1" x14ac:dyDescent="0.2">
      <c r="A21" s="121" t="str">
        <f t="shared" si="1"/>
        <v>OS-2 -</v>
      </c>
      <c r="B21" s="139" t="s">
        <v>22</v>
      </c>
      <c r="C21" s="140" t="s">
        <v>290</v>
      </c>
      <c r="D21" s="141">
        <v>2435.15215420087</v>
      </c>
      <c r="E21" s="141">
        <v>594.97716466733505</v>
      </c>
      <c r="F21" s="141">
        <v>931.48736919610099</v>
      </c>
      <c r="G21" s="141">
        <v>978.28769143981299</v>
      </c>
      <c r="H21" s="141">
        <v>943.79635785196604</v>
      </c>
      <c r="I21" s="141">
        <v>932.17660028429998</v>
      </c>
      <c r="J21" s="141">
        <v>800.59158280839802</v>
      </c>
      <c r="K21" s="141">
        <v>952.98266719440198</v>
      </c>
      <c r="L21" s="141">
        <v>935.312825908842</v>
      </c>
      <c r="M21" s="141">
        <v>807.47737311945502</v>
      </c>
      <c r="N21" s="141">
        <v>2644.94126219494</v>
      </c>
      <c r="O21" s="141">
        <v>3038.0481260883398</v>
      </c>
      <c r="P21" s="142">
        <f t="shared" si="2"/>
        <v>15995.231174954759</v>
      </c>
      <c r="Q21" s="143">
        <f t="shared" si="4"/>
        <v>1332.93593124623</v>
      </c>
      <c r="R21" s="144">
        <f t="shared" si="0"/>
        <v>6.7408289551541871E-5</v>
      </c>
      <c r="S21" s="143">
        <f t="shared" si="5"/>
        <v>905.26591904898555</v>
      </c>
      <c r="T21" s="144">
        <f t="shared" si="3"/>
        <v>4.0910143975405362E-5</v>
      </c>
      <c r="U21" s="143">
        <f t="shared" si="6"/>
        <v>1211.2431660793623</v>
      </c>
      <c r="V21" s="144">
        <f t="shared" si="7"/>
        <v>5.5849567952049425E-5</v>
      </c>
    </row>
    <row r="22" spans="1:22" ht="20.25" customHeight="1" x14ac:dyDescent="0.2">
      <c r="A22" s="121" t="str">
        <f t="shared" si="1"/>
        <v>RS(T)-1 -</v>
      </c>
      <c r="B22" s="139" t="s">
        <v>169</v>
      </c>
      <c r="C22" s="140" t="s">
        <v>291</v>
      </c>
      <c r="D22" s="141">
        <v>12270361.2399708</v>
      </c>
      <c r="E22" s="141">
        <v>8722868.1719531193</v>
      </c>
      <c r="F22" s="141">
        <v>10106517.777918199</v>
      </c>
      <c r="G22" s="141">
        <v>10236813.6027721</v>
      </c>
      <c r="H22" s="141">
        <v>11321099.7314748</v>
      </c>
      <c r="I22" s="141">
        <v>12166982.0799204</v>
      </c>
      <c r="J22" s="141">
        <v>12595559.0713524</v>
      </c>
      <c r="K22" s="141">
        <v>13003637.990172099</v>
      </c>
      <c r="L22" s="141">
        <v>12475147.636080099</v>
      </c>
      <c r="M22" s="141">
        <v>11220292.7566764</v>
      </c>
      <c r="N22" s="141">
        <v>9353078.00168062</v>
      </c>
      <c r="O22" s="141">
        <v>9124572.3956581596</v>
      </c>
      <c r="P22" s="142">
        <f t="shared" si="2"/>
        <v>132596930.4556292</v>
      </c>
      <c r="Q22" s="143">
        <f t="shared" si="4"/>
        <v>11049744.204635767</v>
      </c>
      <c r="R22" s="144">
        <f t="shared" si="0"/>
        <v>0.5587998187731098</v>
      </c>
      <c r="S22" s="143">
        <f t="shared" si="5"/>
        <v>12560331.69438125</v>
      </c>
      <c r="T22" s="144">
        <f t="shared" si="3"/>
        <v>0.56761772113965892</v>
      </c>
      <c r="U22" s="143">
        <f t="shared" si="6"/>
        <v>12502337.603499159</v>
      </c>
      <c r="V22" s="144">
        <f t="shared" si="7"/>
        <v>0.57647396749096602</v>
      </c>
    </row>
    <row r="23" spans="1:22" ht="20.25" customHeight="1" x14ac:dyDescent="0.2">
      <c r="A23" s="121" t="str">
        <f t="shared" si="1"/>
        <v>SL-1 -</v>
      </c>
      <c r="B23" s="139" t="s">
        <v>27</v>
      </c>
      <c r="C23" s="140" t="s">
        <v>292</v>
      </c>
      <c r="D23" s="141">
        <v>54018.284753029802</v>
      </c>
      <c r="E23" s="141">
        <v>0</v>
      </c>
      <c r="F23" s="141">
        <v>0</v>
      </c>
      <c r="G23" s="141">
        <v>0</v>
      </c>
      <c r="H23" s="141">
        <v>0</v>
      </c>
      <c r="I23" s="141">
        <v>0</v>
      </c>
      <c r="J23" s="141">
        <v>0</v>
      </c>
      <c r="K23" s="141">
        <v>0</v>
      </c>
      <c r="L23" s="141">
        <v>0</v>
      </c>
      <c r="M23" s="141">
        <v>0</v>
      </c>
      <c r="N23" s="141">
        <v>38462.698005124803</v>
      </c>
      <c r="O23" s="141">
        <v>38827.154202093501</v>
      </c>
      <c r="P23" s="142">
        <f t="shared" si="2"/>
        <v>131308.13696024811</v>
      </c>
      <c r="Q23" s="143">
        <f t="shared" si="4"/>
        <v>10942.344746687342</v>
      </c>
      <c r="R23" s="144">
        <f t="shared" si="0"/>
        <v>5.5336848963765956E-4</v>
      </c>
      <c r="S23" s="143">
        <f t="shared" si="5"/>
        <v>0</v>
      </c>
      <c r="T23" s="144">
        <f t="shared" si="3"/>
        <v>0</v>
      </c>
      <c r="U23" s="143">
        <f t="shared" si="6"/>
        <v>10803.65695060596</v>
      </c>
      <c r="V23" s="144">
        <f t="shared" si="7"/>
        <v>4.9814900087037054E-4</v>
      </c>
    </row>
    <row r="24" spans="1:22" ht="20.25" customHeight="1" x14ac:dyDescent="0.2">
      <c r="A24" s="121" t="str">
        <f t="shared" si="1"/>
        <v>SL-2 -</v>
      </c>
      <c r="B24" s="139" t="s">
        <v>28</v>
      </c>
      <c r="C24" s="140" t="s">
        <v>293</v>
      </c>
      <c r="D24" s="141">
        <v>3962.4637828462</v>
      </c>
      <c r="E24" s="141">
        <v>4044.9776943074999</v>
      </c>
      <c r="F24" s="141">
        <v>4060.9593295485502</v>
      </c>
      <c r="G24" s="141">
        <v>4046.8202282593002</v>
      </c>
      <c r="H24" s="141">
        <v>3996.6533117588801</v>
      </c>
      <c r="I24" s="141">
        <v>3960.7461543763102</v>
      </c>
      <c r="J24" s="141">
        <v>3888.5097490224598</v>
      </c>
      <c r="K24" s="141">
        <v>4015.67388457793</v>
      </c>
      <c r="L24" s="141">
        <v>3822.42015596073</v>
      </c>
      <c r="M24" s="141">
        <v>3742.2236574430499</v>
      </c>
      <c r="N24" s="141">
        <v>3724.30687306032</v>
      </c>
      <c r="O24" s="141">
        <v>3774.0183237645301</v>
      </c>
      <c r="P24" s="142">
        <f t="shared" si="2"/>
        <v>47039.773144925755</v>
      </c>
      <c r="Q24" s="143">
        <f t="shared" si="4"/>
        <v>3919.9810954104796</v>
      </c>
      <c r="R24" s="144">
        <f t="shared" si="0"/>
        <v>1.9823850083248122E-4</v>
      </c>
      <c r="S24" s="143">
        <f t="shared" si="5"/>
        <v>3921.8374859843575</v>
      </c>
      <c r="T24" s="144">
        <f t="shared" si="3"/>
        <v>1.7723293545427287E-4</v>
      </c>
      <c r="U24" s="143">
        <f t="shared" si="6"/>
        <v>3929.9627453567255</v>
      </c>
      <c r="V24" s="144">
        <f t="shared" si="7"/>
        <v>1.8120780991175646E-4</v>
      </c>
    </row>
    <row r="25" spans="1:22" ht="20.25" customHeight="1" x14ac:dyDescent="0.2">
      <c r="A25" s="121" t="str">
        <f t="shared" si="1"/>
        <v>SST-DST -</v>
      </c>
      <c r="B25" s="139" t="s">
        <v>29</v>
      </c>
      <c r="C25" s="140" t="s">
        <v>294</v>
      </c>
      <c r="D25" s="141">
        <v>1076.0848435156299</v>
      </c>
      <c r="E25" s="141">
        <v>1496.36025005891</v>
      </c>
      <c r="F25" s="141">
        <v>1161.4958943259601</v>
      </c>
      <c r="G25" s="141">
        <v>2136.6188887363801</v>
      </c>
      <c r="H25" s="141">
        <v>1875.93819800036</v>
      </c>
      <c r="I25" s="141">
        <v>2211.2505567379098</v>
      </c>
      <c r="J25" s="141">
        <v>2109.5902456886201</v>
      </c>
      <c r="K25" s="141">
        <v>1696.8208128268</v>
      </c>
      <c r="L25" s="141">
        <v>1226.2606646910299</v>
      </c>
      <c r="M25" s="141">
        <v>2580.3091352886299</v>
      </c>
      <c r="N25" s="141">
        <v>2572.2018038986998</v>
      </c>
      <c r="O25" s="141">
        <v>558.27375679688203</v>
      </c>
      <c r="P25" s="142">
        <f t="shared" si="2"/>
        <v>20701.205050565815</v>
      </c>
      <c r="Q25" s="143">
        <f t="shared" si="4"/>
        <v>1725.1004208804845</v>
      </c>
      <c r="R25" s="144">
        <f t="shared" si="0"/>
        <v>8.7240553690736406E-5</v>
      </c>
      <c r="S25" s="143">
        <f t="shared" si="5"/>
        <v>1810.9805699860899</v>
      </c>
      <c r="T25" s="144">
        <f t="shared" si="3"/>
        <v>8.1840566728309141E-5</v>
      </c>
      <c r="U25" s="143">
        <f t="shared" si="6"/>
        <v>1664.0014246919977</v>
      </c>
      <c r="V25" s="144">
        <f t="shared" si="7"/>
        <v>7.672593187167971E-5</v>
      </c>
    </row>
    <row r="26" spans="1:22" ht="20.25" customHeight="1" x14ac:dyDescent="0.2">
      <c r="A26" s="121" t="str">
        <f t="shared" si="1"/>
        <v>SST-TST -</v>
      </c>
      <c r="B26" s="139" t="s">
        <v>30</v>
      </c>
      <c r="C26" s="140" t="s">
        <v>295</v>
      </c>
      <c r="D26" s="141">
        <v>11022.1361043902</v>
      </c>
      <c r="E26" s="141">
        <v>9679.1325248144694</v>
      </c>
      <c r="F26" s="141">
        <v>8520.3365667980306</v>
      </c>
      <c r="G26" s="141">
        <v>9165.5305405452109</v>
      </c>
      <c r="H26" s="141">
        <v>10082.1128073689</v>
      </c>
      <c r="I26" s="141">
        <v>8110.1207409446297</v>
      </c>
      <c r="J26" s="141">
        <v>6884.0412115549698</v>
      </c>
      <c r="K26" s="141">
        <v>6093.2585800730103</v>
      </c>
      <c r="L26" s="141">
        <v>10753.7825888386</v>
      </c>
      <c r="M26" s="141">
        <v>7170.2645384707303</v>
      </c>
      <c r="N26" s="141">
        <v>18702.008532514301</v>
      </c>
      <c r="O26" s="141">
        <v>7934.43209659078</v>
      </c>
      <c r="P26" s="142">
        <f t="shared" si="2"/>
        <v>114117.15683290383</v>
      </c>
      <c r="Q26" s="143">
        <f t="shared" si="4"/>
        <v>9509.7630694086529</v>
      </c>
      <c r="R26" s="144">
        <f t="shared" si="0"/>
        <v>4.8092098616466883E-4</v>
      </c>
      <c r="S26" s="143">
        <f t="shared" si="5"/>
        <v>7960.3007803528017</v>
      </c>
      <c r="T26" s="144">
        <f t="shared" si="3"/>
        <v>3.5973634283490889E-4</v>
      </c>
      <c r="U26" s="143">
        <f t="shared" si="6"/>
        <v>8572.667845160282</v>
      </c>
      <c r="V26" s="144">
        <f t="shared" si="7"/>
        <v>3.9527966700392346E-4</v>
      </c>
    </row>
    <row r="27" spans="1:22" ht="20.25" customHeight="1" x14ac:dyDescent="0.25">
      <c r="B27" s="145" t="s">
        <v>296</v>
      </c>
      <c r="C27" s="146"/>
      <c r="D27" s="147">
        <f>SUM(D10:D26)</f>
        <v>18748523.023786992</v>
      </c>
      <c r="E27" s="147">
        <f t="shared" ref="E27:S27" si="8">SUM(E10:E26)</f>
        <v>16357307.410449686</v>
      </c>
      <c r="F27" s="147">
        <f t="shared" si="8"/>
        <v>16359145.002586668</v>
      </c>
      <c r="G27" s="147">
        <f t="shared" si="8"/>
        <v>17829616.779801045</v>
      </c>
      <c r="H27" s="147">
        <f t="shared" si="8"/>
        <v>19465944.864685744</v>
      </c>
      <c r="I27" s="147">
        <f t="shared" si="8"/>
        <v>20768897.52535129</v>
      </c>
      <c r="J27" s="147">
        <f t="shared" si="8"/>
        <v>21161765.836827438</v>
      </c>
      <c r="K27" s="147">
        <f t="shared" si="8"/>
        <v>21676045.594520073</v>
      </c>
      <c r="L27" s="147">
        <f t="shared" si="8"/>
        <v>20477898.391575336</v>
      </c>
      <c r="M27" s="147">
        <f t="shared" si="8"/>
        <v>19182302.913174506</v>
      </c>
      <c r="N27" s="147">
        <f t="shared" si="8"/>
        <v>16872191.610540111</v>
      </c>
      <c r="O27" s="147">
        <f t="shared" si="8"/>
        <v>16213933.289615544</v>
      </c>
      <c r="P27" s="148">
        <f t="shared" si="8"/>
        <v>225113572.24291444</v>
      </c>
      <c r="Q27" s="149">
        <f t="shared" si="8"/>
        <v>18759464.353576206</v>
      </c>
      <c r="R27" s="150">
        <f t="shared" si="0"/>
        <v>0.94869031236588164</v>
      </c>
      <c r="S27" s="149">
        <f t="shared" si="8"/>
        <v>21021151.837068532</v>
      </c>
      <c r="T27" s="150">
        <f t="shared" si="3"/>
        <v>0.94997318477069004</v>
      </c>
      <c r="U27" s="149">
        <f>SUM(U10:U26)</f>
        <v>20566626.074412227</v>
      </c>
      <c r="V27" s="150">
        <f>+U27/$U$41</f>
        <v>0.94831262016962903</v>
      </c>
    </row>
    <row r="28" spans="1:22" ht="20.25" customHeight="1" x14ac:dyDescent="0.2">
      <c r="B28" s="151"/>
      <c r="C28" s="136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2"/>
      <c r="Q28" s="143"/>
      <c r="R28" s="138"/>
      <c r="S28" s="143"/>
      <c r="T28" s="138"/>
      <c r="U28" s="143"/>
      <c r="V28" s="138"/>
    </row>
    <row r="29" spans="1:22" ht="20.25" customHeight="1" x14ac:dyDescent="0.25">
      <c r="B29" s="133" t="s">
        <v>297</v>
      </c>
      <c r="C29" s="134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2"/>
      <c r="Q29" s="143"/>
      <c r="R29" s="138"/>
      <c r="S29" s="143"/>
      <c r="T29" s="138"/>
      <c r="U29" s="143"/>
      <c r="V29" s="138"/>
    </row>
    <row r="30" spans="1:22" ht="20.25" customHeight="1" x14ac:dyDescent="0.2">
      <c r="A30" s="121" t="str">
        <f t="shared" ref="A30:A38" si="9">CONCATENATE($B30," -",TRIM($U$4))</f>
        <v>BLOUNTSTOWN -</v>
      </c>
      <c r="B30" s="139" t="s">
        <v>245</v>
      </c>
      <c r="C30" s="140" t="s">
        <v>298</v>
      </c>
      <c r="D30" s="141">
        <v>0</v>
      </c>
      <c r="E30" s="141">
        <v>0</v>
      </c>
      <c r="F30" s="141">
        <v>0</v>
      </c>
      <c r="G30" s="141">
        <v>0</v>
      </c>
      <c r="H30" s="141">
        <v>0</v>
      </c>
      <c r="I30" s="141">
        <v>0</v>
      </c>
      <c r="J30" s="141">
        <v>0</v>
      </c>
      <c r="K30" s="141">
        <v>0</v>
      </c>
      <c r="L30" s="141">
        <v>0</v>
      </c>
      <c r="M30" s="141">
        <v>0</v>
      </c>
      <c r="N30" s="141">
        <v>0</v>
      </c>
      <c r="O30" s="141">
        <v>0</v>
      </c>
      <c r="P30" s="142">
        <f t="shared" ref="P30:P38" si="10">SUM(D30:O30)</f>
        <v>0</v>
      </c>
      <c r="Q30" s="143">
        <f t="shared" ref="Q30:Q38" si="11">+P30/12</f>
        <v>0</v>
      </c>
      <c r="R30" s="144">
        <f t="shared" ref="R30:R39" si="12">+Q30/$Q$41</f>
        <v>0</v>
      </c>
      <c r="S30" s="143">
        <f t="shared" ref="S30:S38" si="13">AVERAGE(I30:L30)</f>
        <v>0</v>
      </c>
      <c r="T30" s="144">
        <f t="shared" ref="T30:T39" si="14">+S30/$S$41</f>
        <v>0</v>
      </c>
      <c r="U30" s="143">
        <f t="shared" ref="U30:U37" si="15">AVERAGE(I30:L30,D30)</f>
        <v>0</v>
      </c>
      <c r="V30" s="144">
        <f t="shared" ref="V30:V38" si="16">+U30/$U$41</f>
        <v>0</v>
      </c>
    </row>
    <row r="31" spans="1:22" ht="20.25" customHeight="1" x14ac:dyDescent="0.2">
      <c r="A31" s="121" t="str">
        <f t="shared" si="9"/>
        <v>FKEC -</v>
      </c>
      <c r="B31" s="139" t="s">
        <v>246</v>
      </c>
      <c r="C31" s="140" t="s">
        <v>299</v>
      </c>
      <c r="D31" s="141">
        <v>110001.339377033</v>
      </c>
      <c r="E31" s="141">
        <v>117045.373464121</v>
      </c>
      <c r="F31" s="141">
        <v>111072.605266756</v>
      </c>
      <c r="G31" s="141">
        <v>131904.56923163901</v>
      </c>
      <c r="H31" s="141">
        <v>140213.21014297</v>
      </c>
      <c r="I31" s="141">
        <v>144301.15478559301</v>
      </c>
      <c r="J31" s="141">
        <v>155346.66911503699</v>
      </c>
      <c r="K31" s="141">
        <v>152483.48334492999</v>
      </c>
      <c r="L31" s="141">
        <v>140672.41171963501</v>
      </c>
      <c r="M31" s="141">
        <v>134494.24596786601</v>
      </c>
      <c r="N31" s="141">
        <v>119320.063328822</v>
      </c>
      <c r="O31" s="141">
        <v>113729.81583623101</v>
      </c>
      <c r="P31" s="142">
        <f t="shared" ref="P31" si="17">SUM(D31:O31)</f>
        <v>1570584.9415806327</v>
      </c>
      <c r="Q31" s="143">
        <f t="shared" si="11"/>
        <v>130882.07846505272</v>
      </c>
      <c r="R31" s="144">
        <f t="shared" si="12"/>
        <v>6.6188755479276908E-3</v>
      </c>
      <c r="S31" s="143">
        <f t="shared" si="13"/>
        <v>148200.92974129875</v>
      </c>
      <c r="T31" s="144">
        <f t="shared" si="14"/>
        <v>6.6973927167994825E-3</v>
      </c>
      <c r="U31" s="143">
        <f t="shared" si="15"/>
        <v>140561.0116684456</v>
      </c>
      <c r="V31" s="144">
        <f t="shared" si="16"/>
        <v>6.4811690934001142E-3</v>
      </c>
    </row>
    <row r="32" spans="1:22" ht="20.25" customHeight="1" x14ac:dyDescent="0.2">
      <c r="A32" s="121" t="str">
        <f t="shared" si="9"/>
        <v>HOMESTEAD -</v>
      </c>
      <c r="B32" s="139" t="s">
        <v>247</v>
      </c>
      <c r="C32" s="140" t="s">
        <v>300</v>
      </c>
      <c r="D32" s="141">
        <v>20551.231317524402</v>
      </c>
      <c r="E32" s="141">
        <v>0</v>
      </c>
      <c r="F32" s="141">
        <v>0</v>
      </c>
      <c r="G32" s="141">
        <v>0</v>
      </c>
      <c r="H32" s="141">
        <v>0</v>
      </c>
      <c r="I32" s="141">
        <v>0</v>
      </c>
      <c r="J32" s="141">
        <v>0</v>
      </c>
      <c r="K32" s="141">
        <v>20551.2313175087</v>
      </c>
      <c r="L32" s="141">
        <v>0</v>
      </c>
      <c r="M32" s="141">
        <v>0</v>
      </c>
      <c r="N32" s="141">
        <v>0</v>
      </c>
      <c r="O32" s="141">
        <v>0</v>
      </c>
      <c r="P32" s="142">
        <f t="shared" ref="P32:P36" si="18">SUM(D32:O32)</f>
        <v>41102.462635033102</v>
      </c>
      <c r="Q32" s="143">
        <f t="shared" si="11"/>
        <v>3425.205219586092</v>
      </c>
      <c r="R32" s="144">
        <f t="shared" si="12"/>
        <v>1.7321704652334158E-4</v>
      </c>
      <c r="S32" s="143">
        <f t="shared" si="13"/>
        <v>5137.807829377175</v>
      </c>
      <c r="T32" s="144">
        <f t="shared" si="14"/>
        <v>2.3218421636660714E-4</v>
      </c>
      <c r="U32" s="143">
        <f t="shared" si="15"/>
        <v>8220.4925270066196</v>
      </c>
      <c r="V32" s="144">
        <f t="shared" si="16"/>
        <v>3.7904111151557915E-4</v>
      </c>
    </row>
    <row r="33" spans="1:22" ht="20.25" customHeight="1" x14ac:dyDescent="0.2">
      <c r="A33" s="121" t="str">
        <f t="shared" si="9"/>
        <v>LCEC -</v>
      </c>
      <c r="B33" s="139" t="s">
        <v>34</v>
      </c>
      <c r="C33" s="140" t="s">
        <v>301</v>
      </c>
      <c r="D33" s="141">
        <v>729243.67919765494</v>
      </c>
      <c r="E33" s="141">
        <v>654650.47208808397</v>
      </c>
      <c r="F33" s="141">
        <v>603275.65912108496</v>
      </c>
      <c r="G33" s="141">
        <v>591012.53487629106</v>
      </c>
      <c r="H33" s="141">
        <v>684847.27094307099</v>
      </c>
      <c r="I33" s="141">
        <v>752108.91703148501</v>
      </c>
      <c r="J33" s="141">
        <v>733115.23921247094</v>
      </c>
      <c r="K33" s="141">
        <v>766732.85115655605</v>
      </c>
      <c r="L33" s="141">
        <v>658437.92030595895</v>
      </c>
      <c r="M33" s="141">
        <v>693524.84519625304</v>
      </c>
      <c r="N33" s="141">
        <v>569677.31565880205</v>
      </c>
      <c r="O33" s="141">
        <v>535486.95844249998</v>
      </c>
      <c r="P33" s="142">
        <f t="shared" si="18"/>
        <v>7972113.6632302115</v>
      </c>
      <c r="Q33" s="143">
        <f t="shared" si="11"/>
        <v>664342.80526918429</v>
      </c>
      <c r="R33" s="144">
        <f t="shared" si="12"/>
        <v>3.3596672675182217E-2</v>
      </c>
      <c r="S33" s="143">
        <f t="shared" si="13"/>
        <v>727598.73192661768</v>
      </c>
      <c r="T33" s="144">
        <f t="shared" si="14"/>
        <v>3.2881132773352091E-2</v>
      </c>
      <c r="U33" s="143">
        <f t="shared" si="15"/>
        <v>727927.72138082515</v>
      </c>
      <c r="V33" s="144">
        <f t="shared" si="16"/>
        <v>3.3564233737666482E-2</v>
      </c>
    </row>
    <row r="34" spans="1:22" ht="20.25" customHeight="1" x14ac:dyDescent="0.2">
      <c r="A34" s="121" t="str">
        <f t="shared" si="9"/>
        <v>NEW SMRYNA BEACH -</v>
      </c>
      <c r="B34" s="139" t="s">
        <v>248</v>
      </c>
      <c r="C34" s="140" t="s">
        <v>302</v>
      </c>
      <c r="D34" s="141">
        <v>44038.352823855399</v>
      </c>
      <c r="E34" s="141">
        <v>0</v>
      </c>
      <c r="F34" s="141">
        <v>0</v>
      </c>
      <c r="G34" s="141">
        <v>0</v>
      </c>
      <c r="H34" s="141">
        <v>0</v>
      </c>
      <c r="I34" s="141">
        <v>0</v>
      </c>
      <c r="J34" s="141">
        <v>0</v>
      </c>
      <c r="K34" s="141">
        <v>44038.352823784298</v>
      </c>
      <c r="L34" s="141">
        <v>0</v>
      </c>
      <c r="M34" s="141">
        <v>0</v>
      </c>
      <c r="N34" s="141">
        <v>0</v>
      </c>
      <c r="O34" s="141">
        <v>0</v>
      </c>
      <c r="P34" s="142">
        <f t="shared" si="18"/>
        <v>88076.705647639697</v>
      </c>
      <c r="Q34" s="143">
        <f t="shared" si="11"/>
        <v>7339.7254706366411</v>
      </c>
      <c r="R34" s="144">
        <f t="shared" si="12"/>
        <v>3.711793854119656E-4</v>
      </c>
      <c r="S34" s="143">
        <f t="shared" si="13"/>
        <v>11009.588205946075</v>
      </c>
      <c r="T34" s="144">
        <f t="shared" si="14"/>
        <v>4.9753760650610168E-4</v>
      </c>
      <c r="U34" s="143">
        <f t="shared" si="15"/>
        <v>17615.34112952794</v>
      </c>
      <c r="V34" s="144">
        <f t="shared" si="16"/>
        <v>8.1223095325818435E-4</v>
      </c>
    </row>
    <row r="35" spans="1:22" ht="20.25" customHeight="1" x14ac:dyDescent="0.2">
      <c r="A35" s="121" t="str">
        <f t="shared" si="9"/>
        <v>QUINCY -</v>
      </c>
      <c r="B35" s="139" t="s">
        <v>249</v>
      </c>
      <c r="C35" s="140" t="s">
        <v>303</v>
      </c>
      <c r="D35" s="141">
        <v>18593.971191929799</v>
      </c>
      <c r="E35" s="141">
        <v>0</v>
      </c>
      <c r="F35" s="141">
        <v>0</v>
      </c>
      <c r="G35" s="141">
        <v>0</v>
      </c>
      <c r="H35" s="141">
        <v>0</v>
      </c>
      <c r="I35" s="141">
        <v>0</v>
      </c>
      <c r="J35" s="141">
        <v>0</v>
      </c>
      <c r="K35" s="141">
        <v>18593.971191922999</v>
      </c>
      <c r="L35" s="141">
        <v>0</v>
      </c>
      <c r="M35" s="141">
        <v>0</v>
      </c>
      <c r="N35" s="141">
        <v>0</v>
      </c>
      <c r="O35" s="141">
        <v>0</v>
      </c>
      <c r="P35" s="142">
        <f t="shared" si="18"/>
        <v>37187.942383852802</v>
      </c>
      <c r="Q35" s="143">
        <f t="shared" si="11"/>
        <v>3098.9951986544002</v>
      </c>
      <c r="R35" s="144">
        <f t="shared" si="12"/>
        <v>1.5672018494874277E-4</v>
      </c>
      <c r="S35" s="143">
        <f t="shared" si="13"/>
        <v>4648.4927979807499</v>
      </c>
      <c r="T35" s="144">
        <f t="shared" si="14"/>
        <v>2.1007143385427384E-4</v>
      </c>
      <c r="U35" s="143">
        <f t="shared" si="15"/>
        <v>7437.5884767705602</v>
      </c>
      <c r="V35" s="144">
        <f t="shared" si="16"/>
        <v>3.4294195803583218E-4</v>
      </c>
    </row>
    <row r="36" spans="1:22" ht="20.25" customHeight="1" x14ac:dyDescent="0.2">
      <c r="A36" s="121" t="str">
        <f t="shared" si="9"/>
        <v>SEMINOLE -</v>
      </c>
      <c r="B36" s="139" t="s">
        <v>33</v>
      </c>
      <c r="C36" s="140" t="s">
        <v>304</v>
      </c>
      <c r="D36" s="141">
        <v>195726.01260892101</v>
      </c>
      <c r="E36" s="141">
        <v>195726.01260699501</v>
      </c>
      <c r="F36" s="141">
        <v>195726.01260692099</v>
      </c>
      <c r="G36" s="141">
        <v>195726.01260541499</v>
      </c>
      <c r="H36" s="141">
        <v>195726.01260585099</v>
      </c>
      <c r="I36" s="141">
        <v>195726.01260621601</v>
      </c>
      <c r="J36" s="141">
        <v>195726.012605436</v>
      </c>
      <c r="K36" s="141">
        <v>195726.01260697099</v>
      </c>
      <c r="L36" s="141">
        <v>195726.012605567</v>
      </c>
      <c r="M36" s="141">
        <v>195726.01260627</v>
      </c>
      <c r="N36" s="141">
        <v>195726.012606025</v>
      </c>
      <c r="O36" s="141">
        <v>195726.01254552399</v>
      </c>
      <c r="P36" s="142">
        <f t="shared" si="18"/>
        <v>2348712.1512161121</v>
      </c>
      <c r="Q36" s="143">
        <f t="shared" si="11"/>
        <v>195726.01260134266</v>
      </c>
      <c r="R36" s="144">
        <f t="shared" si="12"/>
        <v>9.8981169468998487E-3</v>
      </c>
      <c r="S36" s="143">
        <f t="shared" si="13"/>
        <v>195726.0126060475</v>
      </c>
      <c r="T36" s="144">
        <f t="shared" si="14"/>
        <v>8.8451130070788895E-3</v>
      </c>
      <c r="U36" s="143">
        <f t="shared" si="15"/>
        <v>195726.01260662221</v>
      </c>
      <c r="V36" s="144">
        <f t="shared" si="16"/>
        <v>9.024788372131878E-3</v>
      </c>
    </row>
    <row r="37" spans="1:22" ht="20.25" customHeight="1" x14ac:dyDescent="0.2">
      <c r="A37" s="121" t="str">
        <f t="shared" si="9"/>
        <v>WAUCHULA -</v>
      </c>
      <c r="B37" s="139" t="s">
        <v>250</v>
      </c>
      <c r="C37" s="140" t="s">
        <v>305</v>
      </c>
      <c r="D37" s="141">
        <v>0</v>
      </c>
      <c r="E37" s="141">
        <v>0</v>
      </c>
      <c r="F37" s="141">
        <v>0</v>
      </c>
      <c r="G37" s="141">
        <v>0</v>
      </c>
      <c r="H37" s="141">
        <v>0</v>
      </c>
      <c r="I37" s="141">
        <v>0</v>
      </c>
      <c r="J37" s="141">
        <v>0</v>
      </c>
      <c r="K37" s="141">
        <v>0</v>
      </c>
      <c r="L37" s="141">
        <v>0</v>
      </c>
      <c r="M37" s="141">
        <v>0</v>
      </c>
      <c r="N37" s="141">
        <v>0</v>
      </c>
      <c r="O37" s="141">
        <v>0</v>
      </c>
      <c r="P37" s="142">
        <f t="shared" ref="P37" si="19">SUM(D37:O37)</f>
        <v>0</v>
      </c>
      <c r="Q37" s="143">
        <f t="shared" si="11"/>
        <v>0</v>
      </c>
      <c r="R37" s="144">
        <f t="shared" si="12"/>
        <v>0</v>
      </c>
      <c r="S37" s="143">
        <f t="shared" si="13"/>
        <v>0</v>
      </c>
      <c r="T37" s="144">
        <f t="shared" si="14"/>
        <v>0</v>
      </c>
      <c r="U37" s="143">
        <f t="shared" si="15"/>
        <v>0</v>
      </c>
      <c r="V37" s="144">
        <f t="shared" si="16"/>
        <v>0</v>
      </c>
    </row>
    <row r="38" spans="1:22" ht="20.25" customHeight="1" x14ac:dyDescent="0.2">
      <c r="A38" s="121" t="str">
        <f t="shared" si="9"/>
        <v>WINTER PARK -</v>
      </c>
      <c r="B38" s="139" t="s">
        <v>251</v>
      </c>
      <c r="C38" s="140" t="s">
        <v>306</v>
      </c>
      <c r="D38" s="141">
        <v>58717.803766187302</v>
      </c>
      <c r="E38" s="141">
        <v>0</v>
      </c>
      <c r="F38" s="141">
        <v>0</v>
      </c>
      <c r="G38" s="141">
        <v>0</v>
      </c>
      <c r="H38" s="141">
        <v>0</v>
      </c>
      <c r="I38" s="141">
        <v>0</v>
      </c>
      <c r="J38" s="141">
        <v>0</v>
      </c>
      <c r="K38" s="141">
        <v>58717.8037660259</v>
      </c>
      <c r="L38" s="141">
        <v>0</v>
      </c>
      <c r="M38" s="141">
        <v>0</v>
      </c>
      <c r="N38" s="141">
        <v>0</v>
      </c>
      <c r="O38" s="141">
        <v>0</v>
      </c>
      <c r="P38" s="142">
        <f t="shared" si="10"/>
        <v>117435.60753221321</v>
      </c>
      <c r="Q38" s="143">
        <f t="shared" si="11"/>
        <v>9786.3006276844335</v>
      </c>
      <c r="R38" s="144">
        <f t="shared" si="12"/>
        <v>4.949058472244962E-4</v>
      </c>
      <c r="S38" s="143">
        <f t="shared" si="13"/>
        <v>14679.450941506475</v>
      </c>
      <c r="T38" s="144">
        <f t="shared" si="14"/>
        <v>6.6338347535254273E-4</v>
      </c>
      <c r="U38" s="143">
        <f>AVERAGE(I38:L38,D38)</f>
        <v>23487.121506442643</v>
      </c>
      <c r="V38" s="144">
        <f t="shared" si="16"/>
        <v>1.0829746043629382E-3</v>
      </c>
    </row>
    <row r="39" spans="1:22" ht="20.25" customHeight="1" x14ac:dyDescent="0.25">
      <c r="B39" s="145" t="s">
        <v>307</v>
      </c>
      <c r="C39" s="146"/>
      <c r="D39" s="147">
        <f t="shared" ref="D39:S39" si="20">SUM(D30:D38)</f>
        <v>1176872.3902831057</v>
      </c>
      <c r="E39" s="147">
        <f t="shared" si="20"/>
        <v>967421.85815920006</v>
      </c>
      <c r="F39" s="147">
        <f t="shared" si="20"/>
        <v>910074.27699476201</v>
      </c>
      <c r="G39" s="147">
        <f t="shared" si="20"/>
        <v>918643.11671334505</v>
      </c>
      <c r="H39" s="147">
        <f t="shared" si="20"/>
        <v>1020786.4936918919</v>
      </c>
      <c r="I39" s="147">
        <f t="shared" si="20"/>
        <v>1092136.0844232941</v>
      </c>
      <c r="J39" s="147">
        <f t="shared" si="20"/>
        <v>1084187.9209329439</v>
      </c>
      <c r="K39" s="147">
        <f t="shared" si="20"/>
        <v>1256843.7062076991</v>
      </c>
      <c r="L39" s="147">
        <f t="shared" si="20"/>
        <v>994836.34463116096</v>
      </c>
      <c r="M39" s="147">
        <f t="shared" si="20"/>
        <v>1023745.1037703891</v>
      </c>
      <c r="N39" s="147">
        <f t="shared" si="20"/>
        <v>884723.39159364905</v>
      </c>
      <c r="O39" s="147">
        <f t="shared" si="20"/>
        <v>844942.78682425502</v>
      </c>
      <c r="P39" s="148">
        <f t="shared" si="20"/>
        <v>12175213.474225696</v>
      </c>
      <c r="Q39" s="149">
        <f t="shared" ref="Q39" si="21">SUM(Q30:Q38)</f>
        <v>1014601.1228521412</v>
      </c>
      <c r="R39" s="150">
        <f t="shared" si="12"/>
        <v>5.1309687634118299E-2</v>
      </c>
      <c r="S39" s="149">
        <f t="shared" si="20"/>
        <v>1107001.0140487745</v>
      </c>
      <c r="T39" s="150">
        <f t="shared" si="14"/>
        <v>5.002681522930999E-2</v>
      </c>
      <c r="U39" s="149">
        <f>SUM(U30:U38)</f>
        <v>1120975.2892956405</v>
      </c>
      <c r="V39" s="150">
        <f>+U39/$U$41</f>
        <v>5.1687379830371E-2</v>
      </c>
    </row>
    <row r="40" spans="1:22" ht="20.25" customHeight="1" x14ac:dyDescent="0.2">
      <c r="B40" s="151"/>
      <c r="C40" s="136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2"/>
      <c r="Q40" s="143"/>
      <c r="R40" s="138"/>
      <c r="S40" s="143"/>
      <c r="T40" s="138"/>
      <c r="U40" s="143"/>
      <c r="V40" s="138"/>
    </row>
    <row r="41" spans="1:22" ht="20.25" customHeight="1" thickBot="1" x14ac:dyDescent="0.3">
      <c r="B41" s="152" t="s">
        <v>308</v>
      </c>
      <c r="C41" s="153"/>
      <c r="D41" s="154">
        <f t="shared" ref="D41:S41" si="22">+D27+D39</f>
        <v>19925395.414070096</v>
      </c>
      <c r="E41" s="154">
        <f t="shared" si="22"/>
        <v>17324729.268608887</v>
      </c>
      <c r="F41" s="154">
        <f t="shared" si="22"/>
        <v>17269219.279581431</v>
      </c>
      <c r="G41" s="154">
        <f t="shared" si="22"/>
        <v>18748259.89651439</v>
      </c>
      <c r="H41" s="154">
        <f t="shared" si="22"/>
        <v>20486731.358377635</v>
      </c>
      <c r="I41" s="154">
        <f t="shared" si="22"/>
        <v>21861033.609774582</v>
      </c>
      <c r="J41" s="154">
        <f t="shared" si="22"/>
        <v>22245953.757760383</v>
      </c>
      <c r="K41" s="154">
        <f t="shared" si="22"/>
        <v>22932889.300727773</v>
      </c>
      <c r="L41" s="154">
        <f t="shared" si="22"/>
        <v>21472734.736206498</v>
      </c>
      <c r="M41" s="154">
        <f t="shared" si="22"/>
        <v>20206048.016944896</v>
      </c>
      <c r="N41" s="154">
        <f t="shared" si="22"/>
        <v>17756915.002133761</v>
      </c>
      <c r="O41" s="154">
        <f t="shared" si="22"/>
        <v>17058876.076439798</v>
      </c>
      <c r="P41" s="155">
        <f t="shared" si="22"/>
        <v>237288785.71714014</v>
      </c>
      <c r="Q41" s="156">
        <f t="shared" si="22"/>
        <v>19774065.476428349</v>
      </c>
      <c r="R41" s="157">
        <f>SUM(R27+R39)</f>
        <v>0.99999999999999989</v>
      </c>
      <c r="S41" s="156">
        <f t="shared" si="22"/>
        <v>22128152.851117305</v>
      </c>
      <c r="T41" s="157">
        <f>SUM(T27,T39)</f>
        <v>1</v>
      </c>
      <c r="U41" s="156">
        <f>+U27+U39</f>
        <v>21687601.363707867</v>
      </c>
      <c r="V41" s="157">
        <f>SUM(V27,V39)</f>
        <v>1</v>
      </c>
    </row>
    <row r="42" spans="1:22" ht="20.25" customHeight="1" thickTop="1" thickBot="1" x14ac:dyDescent="0.25">
      <c r="B42" s="158"/>
      <c r="C42" s="159"/>
      <c r="D42" s="160"/>
      <c r="E42" s="160"/>
      <c r="F42" s="160"/>
      <c r="G42" s="160"/>
      <c r="H42" s="160"/>
      <c r="I42" s="160"/>
      <c r="J42" s="160"/>
      <c r="K42" s="160"/>
      <c r="L42" s="160"/>
      <c r="M42" s="160"/>
      <c r="N42" s="160"/>
      <c r="O42" s="161"/>
      <c r="P42" s="161"/>
      <c r="Q42" s="160"/>
      <c r="R42" s="162"/>
      <c r="S42" s="160"/>
      <c r="T42" s="162"/>
      <c r="U42" s="160"/>
      <c r="V42" s="162"/>
    </row>
    <row r="43" spans="1:22" x14ac:dyDescent="0.2"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S43" s="163"/>
    </row>
    <row r="44" spans="1:22" x14ac:dyDescent="0.2">
      <c r="C44" s="123" t="s">
        <v>309</v>
      </c>
      <c r="D44" s="163">
        <f>MAX(D41:O41)</f>
        <v>22932889.300727773</v>
      </c>
      <c r="E44" s="163" t="str">
        <f>INDEX($D$8:$O$41,1,MATCH($D44,$D$41:$O$41,0))</f>
        <v>AUG</v>
      </c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S44" s="163"/>
    </row>
    <row r="45" spans="1:22" x14ac:dyDescent="0.2">
      <c r="C45" s="123" t="s">
        <v>310</v>
      </c>
      <c r="D45" s="163">
        <f>MAX(D41:J41,L41:O41)</f>
        <v>22245953.757760383</v>
      </c>
      <c r="E45" s="163" t="str">
        <f>INDEX($D$8:$O$41,1,MATCH($D45,$D$41:$O$41,0))</f>
        <v>JUL</v>
      </c>
    </row>
    <row r="46" spans="1:22" x14ac:dyDescent="0.2">
      <c r="C46" s="123" t="s">
        <v>311</v>
      </c>
      <c r="D46" s="163">
        <f>MAX(D41:I41,L41:O41)</f>
        <v>21861033.609774582</v>
      </c>
      <c r="E46" s="163" t="str">
        <f>INDEX($D$8:$O$41,1,MATCH($D46,$D$41:$O$41,0))</f>
        <v>JUN</v>
      </c>
    </row>
    <row r="47" spans="1:22" x14ac:dyDescent="0.2">
      <c r="C47" s="123" t="s">
        <v>312</v>
      </c>
      <c r="D47" s="163">
        <f>MAX(D41:H41,L41:O41)</f>
        <v>21472734.736206498</v>
      </c>
      <c r="E47" s="163" t="str">
        <f>INDEX($D$8:$O$41,1,MATCH($D47,$D$41:$O$41,0))</f>
        <v>SEP</v>
      </c>
    </row>
    <row r="49" spans="3:5" x14ac:dyDescent="0.2">
      <c r="C49" s="123" t="s">
        <v>313</v>
      </c>
      <c r="D49" s="163">
        <f>MAX(D41:F41,N41:O41)</f>
        <v>19925395.414070096</v>
      </c>
      <c r="E49" s="163" t="str">
        <f>INDEX($D$8:$O$41,1,MATCH($D49,$D$41:$O$41,0))</f>
        <v>JAN</v>
      </c>
    </row>
  </sheetData>
  <mergeCells count="1">
    <mergeCell ref="B8:C8"/>
  </mergeCells>
  <pageMargins left="0.7" right="0.7" top="0.75" bottom="0.75" header="0.3" footer="0.3"/>
  <pageSetup orientation="portrait" r:id="rId1"/>
  <ignoredErrors>
    <ignoredError sqref="S12:S2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5"/>
  </sheetPr>
  <dimension ref="A1:V46"/>
  <sheetViews>
    <sheetView showGridLines="0" defaultGridColor="0" colorId="8" zoomScale="75" zoomScaleNormal="75" zoomScaleSheetLayoutView="75" workbookViewId="0">
      <selection activeCell="A2" sqref="A2"/>
    </sheetView>
  </sheetViews>
  <sheetFormatPr defaultColWidth="9.140625" defaultRowHeight="15" customHeight="1" x14ac:dyDescent="0.2"/>
  <cols>
    <col min="1" max="1" width="21" style="2" customWidth="1"/>
    <col min="2" max="2" width="11.7109375" style="2" customWidth="1"/>
    <col min="3" max="8" width="7.42578125" style="3" customWidth="1"/>
    <col min="9" max="9" width="11.85546875" style="3" customWidth="1"/>
    <col min="10" max="10" width="9.28515625" style="3" bestFit="1" customWidth="1"/>
    <col min="11" max="11" width="2.7109375" style="3" customWidth="1"/>
    <col min="12" max="12" width="12.7109375" style="3" bestFit="1" customWidth="1"/>
    <col min="13" max="18" width="7.42578125" style="2" customWidth="1"/>
    <col min="19" max="19" width="12.7109375" style="2" bestFit="1" customWidth="1"/>
    <col min="20" max="20" width="9.28515625" style="2" bestFit="1" customWidth="1"/>
    <col min="21" max="21" width="2.7109375" style="2" customWidth="1"/>
    <col min="22" max="22" width="14.5703125" style="2" customWidth="1"/>
    <col min="23" max="16384" width="9.140625" style="2"/>
  </cols>
  <sheetData>
    <row r="1" spans="1:22" s="224" customFormat="1" ht="15" customHeight="1" x14ac:dyDescent="0.2">
      <c r="A1" s="224" t="s">
        <v>365</v>
      </c>
      <c r="C1" s="225"/>
      <c r="D1" s="225"/>
      <c r="E1" s="225"/>
      <c r="F1" s="225"/>
      <c r="G1" s="225"/>
      <c r="H1" s="225"/>
      <c r="I1" s="225"/>
      <c r="J1" s="225"/>
      <c r="K1" s="225"/>
      <c r="L1" s="225"/>
    </row>
    <row r="2" spans="1:22" s="224" customFormat="1" ht="15" customHeight="1" x14ac:dyDescent="0.2">
      <c r="A2" s="224" t="s">
        <v>364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</row>
    <row r="3" spans="1:22" s="224" customFormat="1" ht="15" customHeight="1" x14ac:dyDescent="0.2">
      <c r="C3" s="225"/>
      <c r="D3" s="225"/>
      <c r="E3" s="225"/>
      <c r="F3" s="225"/>
      <c r="G3" s="225"/>
      <c r="H3" s="225"/>
      <c r="I3" s="225"/>
      <c r="J3" s="225"/>
      <c r="K3" s="225"/>
      <c r="L3" s="225"/>
    </row>
    <row r="4" spans="1:22" s="17" customFormat="1" ht="20.100000000000001" customHeight="1" x14ac:dyDescent="0.2">
      <c r="A4" s="229" t="s">
        <v>242</v>
      </c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</row>
    <row r="5" spans="1:22" s="17" customFormat="1" ht="20.100000000000001" customHeight="1" x14ac:dyDescent="0.2">
      <c r="A5" s="230" t="s">
        <v>259</v>
      </c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</row>
    <row r="6" spans="1:22" s="17" customFormat="1" ht="20.100000000000001" customHeight="1" x14ac:dyDescent="0.2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</row>
    <row r="7" spans="1:22" ht="15" customHeight="1" x14ac:dyDescent="0.2">
      <c r="A7" s="11"/>
    </row>
    <row r="8" spans="1:22" ht="15" customHeight="1" x14ac:dyDescent="0.2">
      <c r="A8" s="16" t="s">
        <v>191</v>
      </c>
    </row>
    <row r="9" spans="1:22" ht="15" customHeight="1" x14ac:dyDescent="0.2">
      <c r="A9" s="79" t="s">
        <v>192</v>
      </c>
    </row>
    <row r="10" spans="1:22" ht="15" customHeight="1" x14ac:dyDescent="0.2">
      <c r="A10" s="79"/>
    </row>
    <row r="11" spans="1:22" ht="15" customHeight="1" x14ac:dyDescent="0.2">
      <c r="A11" s="16" t="s">
        <v>190</v>
      </c>
    </row>
    <row r="12" spans="1:22" ht="15" customHeight="1" thickBot="1" x14ac:dyDescent="0.25">
      <c r="C12" s="8"/>
      <c r="D12" s="8"/>
      <c r="E12" s="8"/>
      <c r="F12" s="2"/>
      <c r="G12" s="8"/>
      <c r="H12" s="9"/>
      <c r="I12" s="8"/>
      <c r="J12" s="8"/>
      <c r="K12" s="8"/>
      <c r="L12" s="8"/>
    </row>
    <row r="13" spans="1:22" ht="18" customHeight="1" thickBot="1" x14ac:dyDescent="0.25">
      <c r="B13" s="237" t="s">
        <v>179</v>
      </c>
      <c r="C13" s="238"/>
      <c r="D13" s="238"/>
      <c r="E13" s="238"/>
      <c r="F13" s="238"/>
      <c r="G13" s="238"/>
      <c r="H13" s="238"/>
      <c r="I13" s="238"/>
      <c r="J13" s="239"/>
      <c r="K13" s="69"/>
      <c r="L13" s="237" t="s">
        <v>108</v>
      </c>
      <c r="M13" s="238"/>
      <c r="N13" s="238"/>
      <c r="O13" s="238"/>
      <c r="P13" s="238"/>
      <c r="Q13" s="238"/>
      <c r="R13" s="238"/>
      <c r="S13" s="238"/>
      <c r="T13" s="239"/>
    </row>
    <row r="14" spans="1:22" s="12" customFormat="1" ht="18" customHeight="1" thickBot="1" x14ac:dyDescent="0.25">
      <c r="B14" s="70" t="s">
        <v>179</v>
      </c>
      <c r="C14" s="231" t="s">
        <v>195</v>
      </c>
      <c r="D14" s="232"/>
      <c r="E14" s="233"/>
      <c r="F14" s="234" t="s">
        <v>181</v>
      </c>
      <c r="G14" s="235"/>
      <c r="H14" s="236"/>
      <c r="I14" s="81" t="s">
        <v>179</v>
      </c>
      <c r="J14" s="85" t="s">
        <v>185</v>
      </c>
      <c r="K14" s="71"/>
      <c r="L14" s="70" t="s">
        <v>108</v>
      </c>
      <c r="M14" s="231" t="s">
        <v>195</v>
      </c>
      <c r="N14" s="232"/>
      <c r="O14" s="233"/>
      <c r="P14" s="234" t="s">
        <v>181</v>
      </c>
      <c r="Q14" s="235"/>
      <c r="R14" s="236"/>
      <c r="S14" s="81" t="s">
        <v>108</v>
      </c>
      <c r="T14" s="85" t="s">
        <v>185</v>
      </c>
      <c r="V14" s="83" t="s">
        <v>187</v>
      </c>
    </row>
    <row r="15" spans="1:22" s="12" customFormat="1" ht="18" customHeight="1" thickBot="1" x14ac:dyDescent="0.25">
      <c r="A15" s="12" t="s">
        <v>3</v>
      </c>
      <c r="B15" s="72" t="s">
        <v>180</v>
      </c>
      <c r="C15" s="73" t="s">
        <v>182</v>
      </c>
      <c r="D15" s="74" t="s">
        <v>184</v>
      </c>
      <c r="E15" s="75" t="s">
        <v>183</v>
      </c>
      <c r="F15" s="73" t="s">
        <v>182</v>
      </c>
      <c r="G15" s="74" t="s">
        <v>184</v>
      </c>
      <c r="H15" s="75" t="s">
        <v>183</v>
      </c>
      <c r="I15" s="82" t="s">
        <v>193</v>
      </c>
      <c r="J15" s="86" t="s">
        <v>186</v>
      </c>
      <c r="K15" s="71"/>
      <c r="L15" s="72" t="s">
        <v>180</v>
      </c>
      <c r="M15" s="73" t="s">
        <v>182</v>
      </c>
      <c r="N15" s="74" t="s">
        <v>184</v>
      </c>
      <c r="O15" s="75" t="s">
        <v>183</v>
      </c>
      <c r="P15" s="73" t="s">
        <v>182</v>
      </c>
      <c r="Q15" s="74" t="s">
        <v>184</v>
      </c>
      <c r="R15" s="75" t="s">
        <v>183</v>
      </c>
      <c r="S15" s="82" t="s">
        <v>193</v>
      </c>
      <c r="T15" s="86" t="s">
        <v>186</v>
      </c>
      <c r="V15" s="84" t="s">
        <v>188</v>
      </c>
    </row>
    <row r="16" spans="1:22" ht="18" customHeight="1" x14ac:dyDescent="0.2">
      <c r="B16" s="3"/>
      <c r="K16" s="2"/>
      <c r="L16" s="2"/>
      <c r="T16" s="3"/>
    </row>
    <row r="17" spans="1:22" ht="18" customHeight="1" x14ac:dyDescent="0.2">
      <c r="A17" s="2" t="s">
        <v>5</v>
      </c>
      <c r="B17" s="100">
        <f>INDEX('2017 CP'!$B$8:$V$43,MATCH($A17,'2017 CP'!$B$8:$B$43,0),MATCH(B$13,'2017 CP'!$B$8:$V$8,0))</f>
        <v>351500.00945567666</v>
      </c>
      <c r="C17" s="14">
        <v>0</v>
      </c>
      <c r="D17" s="14">
        <v>0.39212000000000102</v>
      </c>
      <c r="E17" s="14">
        <v>0.60788000000000098</v>
      </c>
      <c r="F17" s="14">
        <v>1.0218365995754572</v>
      </c>
      <c r="G17" s="14">
        <v>1.0348230509591971</v>
      </c>
      <c r="H17" s="14">
        <v>1.0644101236847672</v>
      </c>
      <c r="I17" s="10">
        <f t="shared" ref="I17:I33" si="0">(B17*C17*F17)+(B17*D17*G17)+(B17*E17*H17)</f>
        <v>370062.17687077419</v>
      </c>
      <c r="J17" s="77">
        <f t="shared" ref="J17:J33" si="1">+I17/I$36</f>
        <v>1.8551020630065203E-2</v>
      </c>
      <c r="K17" s="2"/>
      <c r="L17" s="10">
        <f>INDEX('2017 SALES'!$B$8:$Q$42,MATCH($A17,'2017 SALES'!$B$8:$B$42,0),MATCH("KWH SALES",'2017 SALES'!$B$8:$Q$8,0))/1000</f>
        <v>2696313.2859999998</v>
      </c>
      <c r="M17" s="14">
        <v>0</v>
      </c>
      <c r="N17" s="14">
        <v>0.39212000000000102</v>
      </c>
      <c r="O17" s="14">
        <v>0.60788000000000098</v>
      </c>
      <c r="P17" s="14">
        <v>1.0170051802969728</v>
      </c>
      <c r="Q17" s="14">
        <v>1.0266921244920639</v>
      </c>
      <c r="R17" s="14">
        <v>1.0486289832939273</v>
      </c>
      <c r="S17" s="10">
        <f t="shared" ref="S17:S33" si="2">(L17*M17*P17)+(L17*N17*Q17)+(L17*O17*R17)</f>
        <v>2804238.8935173294</v>
      </c>
      <c r="T17" s="77">
        <f t="shared" ref="T17:T33" si="3">+S17/S$36</f>
        <v>2.482140945190052E-2</v>
      </c>
      <c r="U17" s="76"/>
      <c r="V17" s="77">
        <f t="shared" ref="V17:V33" si="4">(+J17*12/13)+(T17/13)</f>
        <v>1.9033358231744842E-2</v>
      </c>
    </row>
    <row r="18" spans="1:22" ht="18" customHeight="1" x14ac:dyDescent="0.2">
      <c r="A18" s="2" t="s">
        <v>6</v>
      </c>
      <c r="B18" s="100">
        <f>INDEX('2017 CP'!$B$8:$V$43,MATCH($A18,'2017 CP'!$B$8:$B$43,0),MATCH(B$13,'2017 CP'!$B$8:$V$8,0))</f>
        <v>13598.809688186566</v>
      </c>
      <c r="C18" s="14">
        <v>0</v>
      </c>
      <c r="D18" s="14">
        <v>1.4280000000000998E-2</v>
      </c>
      <c r="E18" s="14">
        <v>0.98572000000000104</v>
      </c>
      <c r="F18" s="14">
        <v>1.0218365995754572</v>
      </c>
      <c r="G18" s="14">
        <v>1.0348230509591971</v>
      </c>
      <c r="H18" s="14">
        <v>1.0644101236847672</v>
      </c>
      <c r="I18" s="10">
        <f t="shared" si="0"/>
        <v>14468.965158859201</v>
      </c>
      <c r="J18" s="77">
        <f t="shared" si="1"/>
        <v>7.2532154846892643E-4</v>
      </c>
      <c r="K18" s="2"/>
      <c r="L18" s="10">
        <f>INDEX('2017 SALES'!$B$8:$Q$42,MATCH($A18,'2017 SALES'!$B$8:$B$42,0),MATCH("KWH SALES",'2017 SALES'!$B$8:$Q$8,0))/1000</f>
        <v>101976.406</v>
      </c>
      <c r="M18" s="14">
        <v>0</v>
      </c>
      <c r="N18" s="14">
        <v>1.4280000000000998E-2</v>
      </c>
      <c r="O18" s="14">
        <v>0.98572000000000104</v>
      </c>
      <c r="P18" s="14">
        <v>1.0170051802969728</v>
      </c>
      <c r="Q18" s="14">
        <v>1.0266921244920639</v>
      </c>
      <c r="R18" s="14">
        <v>1.0486289832939273</v>
      </c>
      <c r="S18" s="10">
        <f t="shared" si="2"/>
        <v>106903.46998370987</v>
      </c>
      <c r="T18" s="77">
        <f t="shared" si="3"/>
        <v>9.4624420423980611E-4</v>
      </c>
      <c r="U18" s="76"/>
      <c r="V18" s="77">
        <f t="shared" si="4"/>
        <v>7.4231559891284023E-4</v>
      </c>
    </row>
    <row r="19" spans="1:22" ht="18" customHeight="1" x14ac:dyDescent="0.2">
      <c r="A19" s="2" t="s">
        <v>7</v>
      </c>
      <c r="B19" s="100">
        <f>INDEX('2017 CP'!$B$8:$V$43,MATCH($A19,'2017 CP'!$B$8:$B$43,0),MATCH(B$13,'2017 CP'!$B$8:$V$8,0))</f>
        <v>188371.35911641517</v>
      </c>
      <c r="C19" s="14">
        <v>1.0000000000000011</v>
      </c>
      <c r="D19" s="14">
        <v>0</v>
      </c>
      <c r="E19" s="14">
        <v>0</v>
      </c>
      <c r="F19" s="14">
        <v>1.0218365995754572</v>
      </c>
      <c r="G19" s="14">
        <v>1.0348230509591971</v>
      </c>
      <c r="H19" s="14">
        <v>1.0644101236847672</v>
      </c>
      <c r="I19" s="10">
        <f t="shared" si="0"/>
        <v>192484.74905692521</v>
      </c>
      <c r="J19" s="77">
        <f t="shared" si="1"/>
        <v>9.6491583682567564E-3</v>
      </c>
      <c r="K19" s="2"/>
      <c r="L19" s="10">
        <f>INDEX('2017 SALES'!$B$8:$Q$42,MATCH($A19,'2017 SALES'!$B$8:$B$42,0),MATCH("KWH SALES",'2017 SALES'!$B$8:$Q$8,0))/1000</f>
        <v>1508921.571</v>
      </c>
      <c r="M19" s="14">
        <v>1.0000000000000011</v>
      </c>
      <c r="N19" s="14">
        <v>0</v>
      </c>
      <c r="O19" s="14">
        <v>0</v>
      </c>
      <c r="P19" s="14">
        <v>1.0170051802969728</v>
      </c>
      <c r="Q19" s="14">
        <v>1.0266921244920639</v>
      </c>
      <c r="R19" s="14">
        <v>1.0486289832939273</v>
      </c>
      <c r="S19" s="10">
        <f t="shared" si="2"/>
        <v>1534581.0543688482</v>
      </c>
      <c r="T19" s="77">
        <f t="shared" si="3"/>
        <v>1.3583173949863414E-2</v>
      </c>
      <c r="U19" s="76"/>
      <c r="V19" s="77">
        <f t="shared" si="4"/>
        <v>9.9517749514572689E-3</v>
      </c>
    </row>
    <row r="20" spans="1:22" ht="18" customHeight="1" x14ac:dyDescent="0.2">
      <c r="A20" s="2" t="s">
        <v>171</v>
      </c>
      <c r="B20" s="100">
        <f>INDEX('2017 CP'!$B$8:$V$43,MATCH($A20,'2017 CP'!$B$8:$B$43,0),MATCH(B$13,'2017 CP'!$B$8:$V$8,0))</f>
        <v>1050396.3714840773</v>
      </c>
      <c r="C20" s="14">
        <v>0</v>
      </c>
      <c r="D20" s="14">
        <v>0</v>
      </c>
      <c r="E20" s="14">
        <v>1.0000000000000011</v>
      </c>
      <c r="F20" s="14">
        <v>1.0218365995754572</v>
      </c>
      <c r="G20" s="14">
        <v>1.0348230509591971</v>
      </c>
      <c r="H20" s="14">
        <v>1.0644101236847672</v>
      </c>
      <c r="I20" s="10">
        <f t="shared" si="0"/>
        <v>1118052.5316893987</v>
      </c>
      <c r="J20" s="77">
        <f t="shared" si="1"/>
        <v>5.6047380351733248E-2</v>
      </c>
      <c r="K20" s="2"/>
      <c r="L20" s="10">
        <f>INDEX('2017 SALES'!$B$8:$Q$42,MATCH($A20,'2017 SALES'!$B$8:$B$42,0),MATCH("KWH SALES",'2017 SALES'!$B$8:$Q$8,0))/1000</f>
        <v>5996275.1279999996</v>
      </c>
      <c r="M20" s="14">
        <v>0</v>
      </c>
      <c r="N20" s="14">
        <v>0</v>
      </c>
      <c r="O20" s="14">
        <v>1.0000000000000011</v>
      </c>
      <c r="P20" s="14">
        <v>1.0170051802969728</v>
      </c>
      <c r="Q20" s="14">
        <v>1.0266921244920639</v>
      </c>
      <c r="R20" s="14">
        <v>1.0486289832939273</v>
      </c>
      <c r="S20" s="10">
        <f t="shared" si="2"/>
        <v>6287867.8910253104</v>
      </c>
      <c r="T20" s="77">
        <f t="shared" si="3"/>
        <v>5.565636503487606E-2</v>
      </c>
      <c r="U20" s="76"/>
      <c r="V20" s="77">
        <f t="shared" si="4"/>
        <v>5.6017302250436544E-2</v>
      </c>
    </row>
    <row r="21" spans="1:22" ht="18" customHeight="1" x14ac:dyDescent="0.2">
      <c r="A21" s="2" t="s">
        <v>12</v>
      </c>
      <c r="B21" s="100">
        <f>INDEX('2017 CP'!$B$8:$V$43,MATCH($A21,'2017 CP'!$B$8:$B$43,0),MATCH(B$13,'2017 CP'!$B$8:$V$8,0))</f>
        <v>8410.4728895070893</v>
      </c>
      <c r="C21" s="14">
        <v>0</v>
      </c>
      <c r="D21" s="14">
        <v>0</v>
      </c>
      <c r="E21" s="14">
        <v>1.0000000000000011</v>
      </c>
      <c r="F21" s="14">
        <v>1.0218365995754572</v>
      </c>
      <c r="G21" s="14">
        <v>1.0348230509591971</v>
      </c>
      <c r="H21" s="14">
        <v>1.0644101236847672</v>
      </c>
      <c r="I21" s="10">
        <f t="shared" si="0"/>
        <v>8952.1924885676326</v>
      </c>
      <c r="J21" s="77">
        <f t="shared" si="1"/>
        <v>4.4876866083432617E-4</v>
      </c>
      <c r="K21" s="2"/>
      <c r="L21" s="10">
        <f>INDEX('2017 SALES'!$B$8:$Q$42,MATCH($A21,'2017 SALES'!$B$8:$B$42,0),MATCH("KWH SALES",'2017 SALES'!$B$8:$Q$8,0))/1000</f>
        <v>70241.817999999999</v>
      </c>
      <c r="M21" s="14">
        <v>0</v>
      </c>
      <c r="N21" s="14">
        <v>0</v>
      </c>
      <c r="O21" s="14">
        <v>1.0000000000000011</v>
      </c>
      <c r="P21" s="14">
        <v>1.0170051802969728</v>
      </c>
      <c r="Q21" s="14">
        <v>1.0266921244920639</v>
      </c>
      <c r="R21" s="14">
        <v>1.0486289832939273</v>
      </c>
      <c r="S21" s="10">
        <f t="shared" si="2"/>
        <v>73657.606194057153</v>
      </c>
      <c r="T21" s="77">
        <f t="shared" si="3"/>
        <v>6.519721293417822E-4</v>
      </c>
      <c r="U21" s="76"/>
      <c r="V21" s="77">
        <f t="shared" si="4"/>
        <v>4.6439969687336131E-4</v>
      </c>
    </row>
    <row r="22" spans="1:22" ht="18" customHeight="1" x14ac:dyDescent="0.2">
      <c r="A22" s="2" t="s">
        <v>170</v>
      </c>
      <c r="B22" s="100">
        <f>INDEX('2017 CP'!$B$8:$V$43,MATCH($A22,'2017 CP'!$B$8:$B$43,0),MATCH(B$13,'2017 CP'!$B$8:$V$8,0))</f>
        <v>4061369.0568574271</v>
      </c>
      <c r="C22" s="14">
        <v>0</v>
      </c>
      <c r="D22" s="14">
        <v>2.8800000000010002E-3</v>
      </c>
      <c r="E22" s="14">
        <v>0.99712000000000101</v>
      </c>
      <c r="F22" s="14">
        <v>1.0218365995754572</v>
      </c>
      <c r="G22" s="14">
        <v>1.0348230509591971</v>
      </c>
      <c r="H22" s="14">
        <v>1.0644101236847672</v>
      </c>
      <c r="I22" s="10">
        <f t="shared" si="0"/>
        <v>4322616.2677567555</v>
      </c>
      <c r="J22" s="77">
        <f t="shared" si="1"/>
        <v>0.21669046060606462</v>
      </c>
      <c r="K22" s="2"/>
      <c r="L22" s="10">
        <f>INDEX('2017 SALES'!$B$8:$Q$42,MATCH($A22,'2017 SALES'!$B$8:$B$42,0),MATCH("KWH SALES",'2017 SALES'!$B$8:$Q$8,0))/1000</f>
        <v>25944232.965</v>
      </c>
      <c r="M22" s="14">
        <v>0</v>
      </c>
      <c r="N22" s="14">
        <v>2.8800000000010002E-3</v>
      </c>
      <c r="O22" s="14">
        <v>0.99712000000000101</v>
      </c>
      <c r="P22" s="14">
        <v>1.0170051802969728</v>
      </c>
      <c r="Q22" s="14">
        <v>1.0266921244920639</v>
      </c>
      <c r="R22" s="14">
        <v>1.0486289832939273</v>
      </c>
      <c r="S22" s="10">
        <f t="shared" si="2"/>
        <v>27204235.527700003</v>
      </c>
      <c r="T22" s="77">
        <f t="shared" si="3"/>
        <v>0.24079527262102282</v>
      </c>
      <c r="U22" s="76"/>
      <c r="V22" s="77">
        <f t="shared" si="4"/>
        <v>0.21854467691490753</v>
      </c>
    </row>
    <row r="23" spans="1:22" ht="18" customHeight="1" x14ac:dyDescent="0.2">
      <c r="A23" s="2" t="s">
        <v>172</v>
      </c>
      <c r="B23" s="100">
        <f>INDEX('2017 CP'!$B$8:$V$43,MATCH($A23,'2017 CP'!$B$8:$B$43,0),MATCH(B$13,'2017 CP'!$B$8:$V$8,0))</f>
        <v>1641120.3789091483</v>
      </c>
      <c r="C23" s="14">
        <v>0</v>
      </c>
      <c r="D23" s="14">
        <v>3.9350000000001002E-2</v>
      </c>
      <c r="E23" s="14">
        <v>0.960650000000001</v>
      </c>
      <c r="F23" s="14">
        <v>1.0218365995754572</v>
      </c>
      <c r="G23" s="14">
        <v>1.0348230509591971</v>
      </c>
      <c r="H23" s="14">
        <v>1.0644101236847672</v>
      </c>
      <c r="I23" s="10">
        <f t="shared" si="0"/>
        <v>1744914.4689423954</v>
      </c>
      <c r="J23" s="77">
        <f t="shared" si="1"/>
        <v>8.7471636752418591E-2</v>
      </c>
      <c r="K23" s="2"/>
      <c r="L23" s="10">
        <f>INDEX('2017 SALES'!$B$8:$Q$42,MATCH($A23,'2017 SALES'!$B$8:$B$42,0),MATCH("KWH SALES",'2017 SALES'!$B$8:$Q$8,0))/1000</f>
        <v>10554686.881999999</v>
      </c>
      <c r="M23" s="14">
        <v>0</v>
      </c>
      <c r="N23" s="14">
        <v>3.9350000000001002E-2</v>
      </c>
      <c r="O23" s="14">
        <v>0.960650000000001</v>
      </c>
      <c r="P23" s="14">
        <v>1.0170051802969728</v>
      </c>
      <c r="Q23" s="14">
        <v>1.0266921244920639</v>
      </c>
      <c r="R23" s="14">
        <v>1.0486289832939273</v>
      </c>
      <c r="S23" s="10">
        <f t="shared" si="2"/>
        <v>11058839.605863588</v>
      </c>
      <c r="T23" s="77">
        <f t="shared" si="3"/>
        <v>9.7886091857080207E-2</v>
      </c>
      <c r="U23" s="76"/>
      <c r="V23" s="77">
        <f t="shared" si="4"/>
        <v>8.8272748683546398E-2</v>
      </c>
    </row>
    <row r="24" spans="1:22" ht="18" customHeight="1" x14ac:dyDescent="0.2">
      <c r="A24" s="2" t="s">
        <v>174</v>
      </c>
      <c r="B24" s="100">
        <f>INDEX('2017 CP'!$B$8:$V$43,MATCH($A24,'2017 CP'!$B$8:$B$43,0),MATCH(B$13,'2017 CP'!$B$8:$V$8,0))</f>
        <v>328269.18904842751</v>
      </c>
      <c r="C24" s="14">
        <v>0</v>
      </c>
      <c r="D24" s="14">
        <v>0.325210000000001</v>
      </c>
      <c r="E24" s="14">
        <v>0.674790000000001</v>
      </c>
      <c r="F24" s="14">
        <v>1.0218365995754572</v>
      </c>
      <c r="G24" s="14">
        <v>1.0348230509591971</v>
      </c>
      <c r="H24" s="14">
        <v>1.0644101236847672</v>
      </c>
      <c r="I24" s="10">
        <f t="shared" si="0"/>
        <v>346254.43806658755</v>
      </c>
      <c r="J24" s="77">
        <f t="shared" si="1"/>
        <v>1.7357551312432405E-2</v>
      </c>
      <c r="K24" s="2"/>
      <c r="L24" s="10">
        <f>INDEX('2017 SALES'!$B$8:$Q$42,MATCH($A24,'2017 SALES'!$B$8:$B$42,0),MATCH("KWH SALES",'2017 SALES'!$B$8:$Q$8,0))/1000</f>
        <v>2526124.898</v>
      </c>
      <c r="M24" s="14">
        <v>0</v>
      </c>
      <c r="N24" s="14">
        <v>0.325210000000001</v>
      </c>
      <c r="O24" s="14">
        <v>0.674790000000001</v>
      </c>
      <c r="P24" s="14">
        <v>1.0170051802969728</v>
      </c>
      <c r="Q24" s="14">
        <v>1.0266921244920639</v>
      </c>
      <c r="R24" s="14">
        <v>1.0486289832939273</v>
      </c>
      <c r="S24" s="10">
        <f t="shared" si="2"/>
        <v>2630946.1915706568</v>
      </c>
      <c r="T24" s="77">
        <f t="shared" si="3"/>
        <v>2.3287528326441428E-2</v>
      </c>
      <c r="U24" s="76"/>
      <c r="V24" s="77">
        <f t="shared" si="4"/>
        <v>1.7813703390433099E-2</v>
      </c>
    </row>
    <row r="25" spans="1:22" ht="18" customHeight="1" x14ac:dyDescent="0.2">
      <c r="A25" s="2" t="s">
        <v>175</v>
      </c>
      <c r="B25" s="100">
        <f>INDEX('2017 CP'!$B$8:$V$43,MATCH($A25,'2017 CP'!$B$8:$B$43,0),MATCH(B$13,'2017 CP'!$B$8:$V$8,0))</f>
        <v>22898.095130678837</v>
      </c>
      <c r="C25" s="14">
        <v>1.0000000000000011</v>
      </c>
      <c r="D25" s="14">
        <v>0</v>
      </c>
      <c r="E25" s="14">
        <v>0</v>
      </c>
      <c r="F25" s="14">
        <v>1.0218365995754572</v>
      </c>
      <c r="G25" s="14">
        <v>1.0348230509591971</v>
      </c>
      <c r="H25" s="14">
        <v>1.0644101236847672</v>
      </c>
      <c r="I25" s="10">
        <f t="shared" si="0"/>
        <v>23398.111665088225</v>
      </c>
      <c r="J25" s="77">
        <f t="shared" si="1"/>
        <v>1.1729349264331718E-3</v>
      </c>
      <c r="K25" s="2"/>
      <c r="L25" s="10">
        <f>INDEX('2017 SALES'!$B$8:$Q$42,MATCH($A25,'2017 SALES'!$B$8:$B$42,0),MATCH("KWH SALES",'2017 SALES'!$B$8:$Q$8,0))/1000</f>
        <v>173041.71400000001</v>
      </c>
      <c r="M25" s="14">
        <v>1.0000000000000011</v>
      </c>
      <c r="N25" s="14">
        <v>0</v>
      </c>
      <c r="O25" s="14">
        <v>0</v>
      </c>
      <c r="P25" s="14">
        <v>1.0170051802969728</v>
      </c>
      <c r="Q25" s="14">
        <v>1.0266921244920639</v>
      </c>
      <c r="R25" s="14">
        <v>1.0486289832939273</v>
      </c>
      <c r="S25" s="10">
        <f t="shared" si="2"/>
        <v>175984.31954546741</v>
      </c>
      <c r="T25" s="77">
        <f t="shared" si="3"/>
        <v>1.5577056800154363E-3</v>
      </c>
      <c r="U25" s="76"/>
      <c r="V25" s="77">
        <f t="shared" si="4"/>
        <v>1.2025326767087304E-3</v>
      </c>
    </row>
    <row r="26" spans="1:22" ht="18" customHeight="1" x14ac:dyDescent="0.2">
      <c r="A26" s="2" t="s">
        <v>20</v>
      </c>
      <c r="B26" s="100">
        <f>INDEX('2017 CP'!$B$8:$V$43,MATCH($A26,'2017 CP'!$B$8:$B$43,0),MATCH(B$13,'2017 CP'!$B$8:$V$8,0))</f>
        <v>14496.859645580751</v>
      </c>
      <c r="C26" s="14">
        <v>0</v>
      </c>
      <c r="D26" s="14">
        <v>1.0000000000000011</v>
      </c>
      <c r="E26" s="14">
        <v>0</v>
      </c>
      <c r="F26" s="14">
        <v>1.0218365995754572</v>
      </c>
      <c r="G26" s="14">
        <v>1.0348230509591971</v>
      </c>
      <c r="H26" s="14">
        <v>1.0644101236847672</v>
      </c>
      <c r="I26" s="10">
        <f t="shared" si="0"/>
        <v>15001.684527767155</v>
      </c>
      <c r="J26" s="77">
        <f t="shared" si="1"/>
        <v>7.520264878556331E-4</v>
      </c>
      <c r="K26" s="2"/>
      <c r="L26" s="10">
        <f>INDEX('2017 SALES'!$B$8:$Q$42,MATCH($A26,'2017 SALES'!$B$8:$B$42,0),MATCH("KWH SALES",'2017 SALES'!$B$8:$Q$8,0))/1000</f>
        <v>91208.296000000002</v>
      </c>
      <c r="M26" s="14">
        <v>0</v>
      </c>
      <c r="N26" s="14">
        <v>1.0000000000000011</v>
      </c>
      <c r="O26" s="14">
        <v>0</v>
      </c>
      <c r="P26" s="14">
        <v>1.0170051802969728</v>
      </c>
      <c r="Q26" s="14">
        <v>1.0266921244920639</v>
      </c>
      <c r="R26" s="14">
        <v>1.0486289832939273</v>
      </c>
      <c r="S26" s="10">
        <f t="shared" si="2"/>
        <v>93642.839191541119</v>
      </c>
      <c r="T26" s="77">
        <f t="shared" si="3"/>
        <v>8.2886920197312896E-4</v>
      </c>
      <c r="U26" s="76"/>
      <c r="V26" s="77">
        <f t="shared" si="4"/>
        <v>7.5793746586467136E-4</v>
      </c>
    </row>
    <row r="27" spans="1:22" ht="18" customHeight="1" x14ac:dyDescent="0.2">
      <c r="A27" s="2" t="s">
        <v>21</v>
      </c>
      <c r="B27" s="100">
        <f>INDEX('2017 CP'!$B$8:$V$43,MATCH($A27,'2017 CP'!$B$8:$B$43,0),MATCH(B$13,'2017 CP'!$B$8:$V$8,0))</f>
        <v>1859.4214516773366</v>
      </c>
      <c r="C27" s="14">
        <v>0</v>
      </c>
      <c r="D27" s="14">
        <v>0</v>
      </c>
      <c r="E27" s="14">
        <v>1.0000000000000011</v>
      </c>
      <c r="F27" s="14">
        <v>1.0218365995754572</v>
      </c>
      <c r="G27" s="14">
        <v>1.0348230509591971</v>
      </c>
      <c r="H27" s="14">
        <v>1.0644101236847672</v>
      </c>
      <c r="I27" s="10">
        <f t="shared" si="0"/>
        <v>1979.1870173619852</v>
      </c>
      <c r="J27" s="77">
        <f t="shared" si="1"/>
        <v>9.9215595336728013E-5</v>
      </c>
      <c r="K27" s="2"/>
      <c r="L27" s="10">
        <f>INDEX('2017 SALES'!$B$8:$Q$42,MATCH($A27,'2017 SALES'!$B$8:$B$42,0),MATCH("KWH SALES",'2017 SALES'!$B$8:$Q$8,0))/1000</f>
        <v>97899.983999999997</v>
      </c>
      <c r="M27" s="14">
        <v>0</v>
      </c>
      <c r="N27" s="14">
        <v>0</v>
      </c>
      <c r="O27" s="14">
        <v>1.0000000000000011</v>
      </c>
      <c r="P27" s="14">
        <v>1.0170051802969728</v>
      </c>
      <c r="Q27" s="14">
        <v>1.0266921244920639</v>
      </c>
      <c r="R27" s="14">
        <v>1.0486289832939273</v>
      </c>
      <c r="S27" s="10">
        <f t="shared" si="2"/>
        <v>102660.76068641186</v>
      </c>
      <c r="T27" s="77">
        <f t="shared" si="3"/>
        <v>9.0869033359880307E-4</v>
      </c>
      <c r="U27" s="76"/>
      <c r="V27" s="77">
        <f t="shared" si="4"/>
        <v>1.6148288289534918E-4</v>
      </c>
    </row>
    <row r="28" spans="1:22" ht="18" customHeight="1" x14ac:dyDescent="0.2">
      <c r="A28" s="2" t="s">
        <v>22</v>
      </c>
      <c r="B28" s="100">
        <f>INDEX('2017 CP'!$B$8:$V$43,MATCH($A28,'2017 CP'!$B$8:$B$43,0),MATCH(B$13,'2017 CP'!$B$8:$V$8,0))</f>
        <v>1332.93593124623</v>
      </c>
      <c r="C28" s="14">
        <v>0</v>
      </c>
      <c r="D28" s="14">
        <v>1.0000000000000011</v>
      </c>
      <c r="E28" s="14">
        <v>0</v>
      </c>
      <c r="F28" s="14">
        <v>1.0218365995754572</v>
      </c>
      <c r="G28" s="14">
        <v>1.0348230509591971</v>
      </c>
      <c r="H28" s="14">
        <v>1.0644101236847672</v>
      </c>
      <c r="I28" s="10">
        <f t="shared" si="0"/>
        <v>1379.352827105364</v>
      </c>
      <c r="J28" s="77">
        <f t="shared" si="1"/>
        <v>6.9146225556322783E-5</v>
      </c>
      <c r="K28" s="2"/>
      <c r="L28" s="10">
        <f>INDEX('2017 SALES'!$B$8:$Q$42,MATCH($A28,'2017 SALES'!$B$8:$B$42,0),MATCH("KWH SALES",'2017 SALES'!$B$8:$Q$8,0))/1000</f>
        <v>10793.313</v>
      </c>
      <c r="M28" s="14">
        <v>0</v>
      </c>
      <c r="N28" s="14">
        <v>0.25134000000000101</v>
      </c>
      <c r="O28" s="14">
        <v>0.74866000000000099</v>
      </c>
      <c r="P28" s="14">
        <v>1.0170051802969728</v>
      </c>
      <c r="Q28" s="14">
        <v>1.0266921244920639</v>
      </c>
      <c r="R28" s="14">
        <v>1.0486289832939273</v>
      </c>
      <c r="S28" s="10">
        <f t="shared" si="2"/>
        <v>11258.670718088219</v>
      </c>
      <c r="T28" s="77">
        <f t="shared" si="3"/>
        <v>9.9654874776831679E-5</v>
      </c>
      <c r="U28" s="76"/>
      <c r="V28" s="77">
        <f t="shared" si="4"/>
        <v>7.1493044727131166E-5</v>
      </c>
    </row>
    <row r="29" spans="1:22" ht="18" customHeight="1" x14ac:dyDescent="0.2">
      <c r="A29" s="2" t="s">
        <v>169</v>
      </c>
      <c r="B29" s="100">
        <f>INDEX('2017 CP'!$B$8:$V$43,MATCH($A29,'2017 CP'!$B$8:$B$43,0),MATCH(B$13,'2017 CP'!$B$8:$V$8,0))</f>
        <v>11049744.204635767</v>
      </c>
      <c r="C29" s="14">
        <v>0</v>
      </c>
      <c r="D29" s="14">
        <v>0</v>
      </c>
      <c r="E29" s="14">
        <v>1.0000000000000011</v>
      </c>
      <c r="F29" s="14">
        <v>1.0218365995754572</v>
      </c>
      <c r="G29" s="14">
        <v>1.0348230509591971</v>
      </c>
      <c r="H29" s="14">
        <v>1.0644101236847672</v>
      </c>
      <c r="I29" s="10">
        <f t="shared" si="0"/>
        <v>11761459.59554141</v>
      </c>
      <c r="J29" s="77">
        <f t="shared" si="1"/>
        <v>0.58959573075407268</v>
      </c>
      <c r="K29" s="2"/>
      <c r="L29" s="10">
        <f>INDEX('2017 SALES'!$B$8:$Q$42,MATCH($A29,'2017 SALES'!$B$8:$B$42,0),MATCH("KWH SALES",'2017 SALES'!$B$8:$Q$8,0))/1000</f>
        <v>57375392.961000003</v>
      </c>
      <c r="M29" s="14">
        <v>0</v>
      </c>
      <c r="N29" s="14">
        <v>0</v>
      </c>
      <c r="O29" s="14">
        <v>1.0000000000000011</v>
      </c>
      <c r="P29" s="14">
        <v>1.0170051802969728</v>
      </c>
      <c r="Q29" s="14">
        <v>1.0266921244920639</v>
      </c>
      <c r="R29" s="14">
        <v>1.0486289832939273</v>
      </c>
      <c r="S29" s="10">
        <f t="shared" si="2"/>
        <v>60165499.986783057</v>
      </c>
      <c r="T29" s="77">
        <f t="shared" si="3"/>
        <v>0.53254824811915713</v>
      </c>
      <c r="U29" s="76"/>
      <c r="V29" s="77">
        <f t="shared" si="4"/>
        <v>0.58520746285907921</v>
      </c>
    </row>
    <row r="30" spans="1:22" ht="18" customHeight="1" x14ac:dyDescent="0.2">
      <c r="A30" s="2" t="s">
        <v>27</v>
      </c>
      <c r="B30" s="100">
        <f>INDEX('2017 CP'!$B$8:$V$43,MATCH($A30,'2017 CP'!$B$8:$B$43,0),MATCH(B$13,'2017 CP'!$B$8:$V$8,0))</f>
        <v>10942.344746687342</v>
      </c>
      <c r="C30" s="14">
        <v>0</v>
      </c>
      <c r="D30" s="14">
        <v>0</v>
      </c>
      <c r="E30" s="14">
        <v>1.0000000000000011</v>
      </c>
      <c r="F30" s="14">
        <v>1.0218365995754572</v>
      </c>
      <c r="G30" s="14">
        <v>1.0348230509591971</v>
      </c>
      <c r="H30" s="14">
        <v>1.0644101236847672</v>
      </c>
      <c r="I30" s="10">
        <f t="shared" si="0"/>
        <v>11647.142525222849</v>
      </c>
      <c r="J30" s="77">
        <f t="shared" si="1"/>
        <v>5.8386507665756184E-4</v>
      </c>
      <c r="K30" s="2"/>
      <c r="L30" s="10">
        <f>INDEX('2017 SALES'!$B$8:$Q$42,MATCH($A30,'2017 SALES'!$B$8:$B$42,0),MATCH("KWH SALES",'2017 SALES'!$B$8:$Q$8,0))/1000</f>
        <v>561284.64500000002</v>
      </c>
      <c r="M30" s="14">
        <v>0</v>
      </c>
      <c r="N30" s="14">
        <v>0</v>
      </c>
      <c r="O30" s="14">
        <v>1.0000000000000011</v>
      </c>
      <c r="P30" s="14">
        <v>1.0170051802969728</v>
      </c>
      <c r="Q30" s="14">
        <v>1.0266921244920639</v>
      </c>
      <c r="R30" s="14">
        <v>1.0486289832939273</v>
      </c>
      <c r="S30" s="10">
        <f t="shared" si="2"/>
        <v>588579.34662484354</v>
      </c>
      <c r="T30" s="77">
        <f t="shared" si="3"/>
        <v>5.2097447871792884E-3</v>
      </c>
      <c r="U30" s="76"/>
      <c r="V30" s="77">
        <f t="shared" si="4"/>
        <v>9.3970197746692547E-4</v>
      </c>
    </row>
    <row r="31" spans="1:22" ht="18" customHeight="1" x14ac:dyDescent="0.2">
      <c r="A31" s="2" t="s">
        <v>28</v>
      </c>
      <c r="B31" s="100">
        <f>INDEX('2017 CP'!$B$8:$V$43,MATCH($A31,'2017 CP'!$B$8:$B$43,0),MATCH(B$13,'2017 CP'!$B$8:$V$8,0))</f>
        <v>3919.9810954104796</v>
      </c>
      <c r="C31" s="14">
        <v>0</v>
      </c>
      <c r="D31" s="14">
        <v>0</v>
      </c>
      <c r="E31" s="14">
        <v>1.0000000000000011</v>
      </c>
      <c r="F31" s="14">
        <v>1.0218365995754572</v>
      </c>
      <c r="G31" s="14">
        <v>1.0348230509591971</v>
      </c>
      <c r="H31" s="14">
        <v>1.0644101236847672</v>
      </c>
      <c r="I31" s="10">
        <f t="shared" si="0"/>
        <v>4172.4675626078224</v>
      </c>
      <c r="J31" s="77">
        <f t="shared" si="1"/>
        <v>2.0916358566210595E-4</v>
      </c>
      <c r="K31" s="2"/>
      <c r="L31" s="10">
        <f>INDEX('2017 SALES'!$B$8:$Q$42,MATCH($A31,'2017 SALES'!$B$8:$B$42,0),MATCH("KWH SALES",'2017 SALES'!$B$8:$Q$8,0))/1000</f>
        <v>32762.626</v>
      </c>
      <c r="M31" s="14">
        <v>0</v>
      </c>
      <c r="N31" s="14">
        <v>0</v>
      </c>
      <c r="O31" s="14">
        <v>1.0000000000000011</v>
      </c>
      <c r="P31" s="14">
        <v>1.0170051802969728</v>
      </c>
      <c r="Q31" s="14">
        <v>1.0266921244920639</v>
      </c>
      <c r="R31" s="14">
        <v>1.0486289832939273</v>
      </c>
      <c r="S31" s="10">
        <f t="shared" si="2"/>
        <v>34355.839192419226</v>
      </c>
      <c r="T31" s="77">
        <f t="shared" si="3"/>
        <v>3.0409689903026767E-4</v>
      </c>
      <c r="U31" s="76"/>
      <c r="V31" s="77">
        <f t="shared" si="4"/>
        <v>2.1646614822888762E-4</v>
      </c>
    </row>
    <row r="32" spans="1:22" ht="18" customHeight="1" x14ac:dyDescent="0.2">
      <c r="A32" s="2" t="s">
        <v>29</v>
      </c>
      <c r="B32" s="100">
        <f>INDEX('2017 CP'!$B$8:$V$43,MATCH($A32,'2017 CP'!$B$8:$B$43,0),MATCH(B$13,'2017 CP'!$B$8:$V$8,0))</f>
        <v>1725.1004208804845</v>
      </c>
      <c r="C32" s="14">
        <v>0</v>
      </c>
      <c r="D32" s="14">
        <v>1.0000000000000011</v>
      </c>
      <c r="E32" s="14">
        <v>0</v>
      </c>
      <c r="F32" s="14">
        <v>1.0218365995754572</v>
      </c>
      <c r="G32" s="14">
        <v>1.0348230509591971</v>
      </c>
      <c r="H32" s="14">
        <v>1.0644101236847672</v>
      </c>
      <c r="I32" s="10">
        <f t="shared" si="0"/>
        <v>1785.17368074654</v>
      </c>
      <c r="J32" s="77">
        <f t="shared" si="1"/>
        <v>8.9489809684989462E-5</v>
      </c>
      <c r="K32" s="2"/>
      <c r="L32" s="10">
        <f>INDEX('2017 SALES'!$B$8:$Q$42,MATCH($A32,'2017 SALES'!$B$8:$B$42,0),MATCH("KWH SALES",'2017 SALES'!$B$8:$Q$8,0))/1000</f>
        <v>11856.925999999999</v>
      </c>
      <c r="M32" s="14">
        <v>0</v>
      </c>
      <c r="N32" s="14">
        <v>1.0000000000000011</v>
      </c>
      <c r="O32" s="14">
        <v>0</v>
      </c>
      <c r="P32" s="14">
        <v>1.0170051802969728</v>
      </c>
      <c r="Q32" s="14">
        <v>1.0266921244920639</v>
      </c>
      <c r="R32" s="14">
        <v>1.0486289832939273</v>
      </c>
      <c r="S32" s="10">
        <f t="shared" si="2"/>
        <v>12173.412544885203</v>
      </c>
      <c r="T32" s="77">
        <f t="shared" si="3"/>
        <v>1.0775161057141605E-4</v>
      </c>
      <c r="U32" s="76"/>
      <c r="V32" s="77">
        <f t="shared" si="4"/>
        <v>9.0894563599329967E-5</v>
      </c>
    </row>
    <row r="33" spans="1:22" ht="18" customHeight="1" x14ac:dyDescent="0.2">
      <c r="A33" s="2" t="s">
        <v>30</v>
      </c>
      <c r="B33" s="100">
        <f>INDEX('2017 CP'!$B$8:$V$43,MATCH($A33,'2017 CP'!$B$8:$B$43,0),MATCH(B$13,'2017 CP'!$B$8:$V$8,0))</f>
        <v>9509.7630694086529</v>
      </c>
      <c r="C33" s="14">
        <v>1.0000000000000011</v>
      </c>
      <c r="D33" s="14">
        <v>0</v>
      </c>
      <c r="E33" s="14">
        <v>0</v>
      </c>
      <c r="F33" s="14">
        <v>1.0218365995754572</v>
      </c>
      <c r="G33" s="14">
        <v>1.0348230509591971</v>
      </c>
      <c r="H33" s="14">
        <v>1.0644101236847672</v>
      </c>
      <c r="I33" s="10">
        <f t="shared" si="0"/>
        <v>9717.423957612813</v>
      </c>
      <c r="J33" s="77">
        <f t="shared" si="1"/>
        <v>4.8712930846676292E-4</v>
      </c>
      <c r="K33" s="2"/>
      <c r="L33" s="10">
        <f>INDEX('2017 SALES'!$B$8:$Q$42,MATCH($A33,'2017 SALES'!$B$8:$B$42,0),MATCH("KWH SALES",'2017 SALES'!$B$8:$Q$8,0))/1000</f>
        <v>89667.754000000001</v>
      </c>
      <c r="M33" s="14">
        <v>1.0000000000000011</v>
      </c>
      <c r="N33" s="14">
        <v>0</v>
      </c>
      <c r="O33" s="14">
        <v>0</v>
      </c>
      <c r="P33" s="14">
        <v>1.0170051802969728</v>
      </c>
      <c r="Q33" s="14">
        <v>1.0266921244920639</v>
      </c>
      <c r="R33" s="14">
        <v>1.0486289832939273</v>
      </c>
      <c r="S33" s="10">
        <f t="shared" si="2"/>
        <v>91192.570323594715</v>
      </c>
      <c r="T33" s="77">
        <f t="shared" si="3"/>
        <v>8.0718091893164476E-4</v>
      </c>
      <c r="U33" s="76"/>
      <c r="V33" s="77">
        <f t="shared" si="4"/>
        <v>5.1174866311790761E-4</v>
      </c>
    </row>
    <row r="34" spans="1:22" ht="18" customHeight="1" x14ac:dyDescent="0.2">
      <c r="B34" s="10"/>
      <c r="C34" s="14"/>
      <c r="D34" s="14"/>
      <c r="E34" s="14"/>
      <c r="F34" s="14"/>
      <c r="G34" s="14"/>
      <c r="H34" s="14"/>
      <c r="I34" s="10"/>
      <c r="J34" s="77"/>
      <c r="K34" s="2"/>
      <c r="L34" s="10"/>
      <c r="M34" s="14"/>
      <c r="N34" s="14"/>
      <c r="O34" s="14"/>
      <c r="P34" s="14"/>
      <c r="Q34" s="14"/>
      <c r="R34" s="14"/>
      <c r="S34" s="10"/>
      <c r="T34" s="77"/>
      <c r="U34" s="76"/>
      <c r="V34" s="77"/>
    </row>
    <row r="35" spans="1:22" ht="18" customHeight="1" x14ac:dyDescent="0.2">
      <c r="B35" s="3"/>
      <c r="C35" s="14"/>
      <c r="D35" s="14"/>
      <c r="E35" s="14"/>
      <c r="F35" s="14"/>
      <c r="G35" s="14"/>
      <c r="H35" s="14"/>
      <c r="J35" s="77"/>
      <c r="K35" s="2"/>
      <c r="M35" s="14"/>
      <c r="N35" s="14"/>
      <c r="O35" s="14"/>
      <c r="P35" s="14"/>
      <c r="Q35" s="14"/>
      <c r="R35" s="14"/>
      <c r="S35" s="3"/>
      <c r="T35" s="77"/>
      <c r="U35" s="76"/>
      <c r="V35" s="77"/>
    </row>
    <row r="36" spans="1:22" ht="18" customHeight="1" thickBot="1" x14ac:dyDescent="0.25">
      <c r="A36" s="2" t="s">
        <v>173</v>
      </c>
      <c r="B36" s="13">
        <f>SUM(B17:B34)</f>
        <v>18759464.353576206</v>
      </c>
      <c r="C36" s="14"/>
      <c r="D36" s="14"/>
      <c r="E36" s="14"/>
      <c r="F36" s="14"/>
      <c r="G36" s="14"/>
      <c r="H36" s="14"/>
      <c r="I36" s="13">
        <f>SUM(I17:I34)</f>
        <v>19948345.929335184</v>
      </c>
      <c r="J36" s="78">
        <f>SUM(J17:J34)</f>
        <v>1</v>
      </c>
      <c r="K36" s="2"/>
      <c r="L36" s="13">
        <f>SUM(L17:L34)</f>
        <v>107842681.17299999</v>
      </c>
      <c r="M36" s="14"/>
      <c r="N36" s="14"/>
      <c r="O36" s="14"/>
      <c r="P36" s="14"/>
      <c r="Q36" s="14"/>
      <c r="R36" s="14"/>
      <c r="S36" s="13">
        <f>SUM(S17:S34)</f>
        <v>112976617.98583381</v>
      </c>
      <c r="T36" s="78">
        <f>SUM(T17:T34)</f>
        <v>0.99999999999999989</v>
      </c>
      <c r="U36" s="76"/>
      <c r="V36" s="78">
        <f>SUM(V17:V34)</f>
        <v>1.0000000000000002</v>
      </c>
    </row>
    <row r="37" spans="1:22" ht="15" customHeight="1" thickTop="1" x14ac:dyDescent="0.2">
      <c r="E37" s="14"/>
      <c r="F37" s="14"/>
      <c r="H37" s="14"/>
      <c r="I37" s="14"/>
      <c r="J37" s="14"/>
      <c r="K37" s="14"/>
      <c r="P37" s="15"/>
    </row>
    <row r="38" spans="1:22" ht="15" customHeight="1" x14ac:dyDescent="0.2">
      <c r="A38" s="16"/>
    </row>
    <row r="39" spans="1:22" ht="15" customHeight="1" x14ac:dyDescent="0.2">
      <c r="A39" s="16" t="s">
        <v>177</v>
      </c>
      <c r="C39" s="2"/>
      <c r="H39" s="2"/>
      <c r="I39" s="2"/>
      <c r="J39" s="2"/>
    </row>
    <row r="40" spans="1:22" ht="15" customHeight="1" x14ac:dyDescent="0.2">
      <c r="A40" s="18" t="s">
        <v>189</v>
      </c>
      <c r="C40" s="2"/>
      <c r="H40" s="2"/>
      <c r="I40" s="2"/>
      <c r="J40" s="2"/>
    </row>
    <row r="41" spans="1:22" ht="15" customHeight="1" x14ac:dyDescent="0.2">
      <c r="A41" s="18" t="s">
        <v>194</v>
      </c>
      <c r="C41" s="2"/>
      <c r="H41" s="2"/>
      <c r="I41" s="2"/>
      <c r="J41" s="2"/>
    </row>
    <row r="42" spans="1:22" ht="15" customHeight="1" x14ac:dyDescent="0.2">
      <c r="A42" s="18" t="s">
        <v>178</v>
      </c>
      <c r="C42" s="2"/>
      <c r="H42" s="2"/>
      <c r="I42" s="2"/>
      <c r="J42" s="2"/>
    </row>
    <row r="43" spans="1:22" ht="15" customHeight="1" x14ac:dyDescent="0.2">
      <c r="A43" s="19" t="s">
        <v>176</v>
      </c>
      <c r="C43" s="2"/>
      <c r="H43" s="2"/>
      <c r="I43" s="2"/>
      <c r="J43" s="2"/>
    </row>
    <row r="44" spans="1:22" ht="15" customHeight="1" x14ac:dyDescent="0.2">
      <c r="C44" s="2"/>
      <c r="H44" s="2"/>
      <c r="I44" s="2"/>
      <c r="J44" s="2"/>
    </row>
    <row r="45" spans="1:22" ht="15" customHeight="1" x14ac:dyDescent="0.2">
      <c r="C45" s="2"/>
      <c r="H45" s="2"/>
      <c r="I45" s="2"/>
      <c r="J45" s="2"/>
    </row>
    <row r="46" spans="1:22" ht="15" customHeight="1" x14ac:dyDescent="0.2">
      <c r="C46" s="2"/>
    </row>
  </sheetData>
  <mergeCells count="8">
    <mergeCell ref="A4:V4"/>
    <mergeCell ref="A5:V5"/>
    <mergeCell ref="C14:E14"/>
    <mergeCell ref="F14:H14"/>
    <mergeCell ref="M14:O14"/>
    <mergeCell ref="P14:R14"/>
    <mergeCell ref="B13:J13"/>
    <mergeCell ref="L13:T13"/>
  </mergeCells>
  <phoneticPr fontId="2" type="noConversion"/>
  <printOptions horizontalCentered="1"/>
  <pageMargins left="0.5" right="0.5" top="0.75" bottom="0.5" header="0" footer="0"/>
  <pageSetup scale="75" pageOrder="overThenDown" orientation="landscape" cellComments="asDisplayed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/>
  </sheetPr>
  <dimension ref="A1:V46"/>
  <sheetViews>
    <sheetView showGridLines="0" defaultGridColor="0" colorId="8" zoomScale="75" zoomScaleNormal="75" zoomScaleSheetLayoutView="75" workbookViewId="0">
      <selection activeCell="A2" sqref="A2"/>
    </sheetView>
  </sheetViews>
  <sheetFormatPr defaultColWidth="9.140625" defaultRowHeight="15" customHeight="1" x14ac:dyDescent="0.2"/>
  <cols>
    <col min="1" max="1" width="21" style="2" customWidth="1"/>
    <col min="2" max="2" width="11.7109375" style="2" customWidth="1"/>
    <col min="3" max="8" width="7.42578125" style="3" customWidth="1"/>
    <col min="9" max="9" width="11.85546875" style="3" customWidth="1"/>
    <col min="10" max="10" width="9.28515625" style="3" bestFit="1" customWidth="1"/>
    <col min="11" max="11" width="2.7109375" style="3" customWidth="1"/>
    <col min="12" max="12" width="12.7109375" style="3" bestFit="1" customWidth="1"/>
    <col min="13" max="18" width="7.42578125" style="2" customWidth="1"/>
    <col min="19" max="19" width="12.7109375" style="2" bestFit="1" customWidth="1"/>
    <col min="20" max="20" width="9.28515625" style="2" bestFit="1" customWidth="1"/>
    <col min="21" max="21" width="2.7109375" style="2" customWidth="1"/>
    <col min="22" max="22" width="14.5703125" style="2" customWidth="1"/>
    <col min="23" max="16384" width="9.140625" style="2"/>
  </cols>
  <sheetData>
    <row r="1" spans="1:22" s="224" customFormat="1" ht="15" customHeight="1" x14ac:dyDescent="0.2">
      <c r="A1" s="224" t="s">
        <v>366</v>
      </c>
      <c r="C1" s="225"/>
      <c r="D1" s="225"/>
      <c r="E1" s="225"/>
      <c r="F1" s="225"/>
      <c r="G1" s="225"/>
      <c r="H1" s="225"/>
      <c r="I1" s="225"/>
      <c r="J1" s="225"/>
      <c r="K1" s="225"/>
      <c r="L1" s="225"/>
    </row>
    <row r="2" spans="1:22" s="224" customFormat="1" ht="15" customHeight="1" x14ac:dyDescent="0.2">
      <c r="A2" s="224" t="s">
        <v>364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</row>
    <row r="3" spans="1:22" s="224" customFormat="1" ht="15" customHeight="1" x14ac:dyDescent="0.2">
      <c r="C3" s="225"/>
      <c r="D3" s="225"/>
      <c r="E3" s="225"/>
      <c r="F3" s="225"/>
      <c r="G3" s="225"/>
      <c r="H3" s="225"/>
      <c r="I3" s="225"/>
      <c r="J3" s="225"/>
      <c r="K3" s="225"/>
      <c r="L3" s="225"/>
    </row>
    <row r="4" spans="1:22" s="17" customFormat="1" ht="20.100000000000001" customHeight="1" x14ac:dyDescent="0.2">
      <c r="A4" s="229" t="s">
        <v>242</v>
      </c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</row>
    <row r="5" spans="1:22" s="17" customFormat="1" ht="20.100000000000001" customHeight="1" x14ac:dyDescent="0.2">
      <c r="A5" s="230" t="s">
        <v>260</v>
      </c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</row>
    <row r="6" spans="1:22" s="17" customFormat="1" ht="20.100000000000001" customHeight="1" x14ac:dyDescent="0.2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</row>
    <row r="7" spans="1:22" ht="15" customHeight="1" x14ac:dyDescent="0.2">
      <c r="A7" s="11"/>
    </row>
    <row r="8" spans="1:22" ht="15" customHeight="1" x14ac:dyDescent="0.2">
      <c r="A8" s="16" t="s">
        <v>196</v>
      </c>
    </row>
    <row r="9" spans="1:22" ht="15" customHeight="1" x14ac:dyDescent="0.2">
      <c r="A9" s="79" t="s">
        <v>197</v>
      </c>
    </row>
    <row r="10" spans="1:22" ht="15" customHeight="1" x14ac:dyDescent="0.2">
      <c r="A10" s="79"/>
    </row>
    <row r="11" spans="1:22" ht="15" customHeight="1" x14ac:dyDescent="0.2">
      <c r="A11" s="16" t="s">
        <v>190</v>
      </c>
    </row>
    <row r="12" spans="1:22" ht="15" customHeight="1" thickBot="1" x14ac:dyDescent="0.25">
      <c r="C12" s="8"/>
      <c r="D12" s="8"/>
      <c r="E12" s="8"/>
      <c r="F12" s="2"/>
      <c r="G12" s="8"/>
      <c r="H12" s="9"/>
      <c r="I12" s="8"/>
      <c r="J12" s="8"/>
      <c r="K12" s="8"/>
      <c r="L12" s="8"/>
    </row>
    <row r="13" spans="1:22" ht="18" customHeight="1" thickBot="1" x14ac:dyDescent="0.25">
      <c r="B13" s="237" t="s">
        <v>179</v>
      </c>
      <c r="C13" s="238"/>
      <c r="D13" s="238"/>
      <c r="E13" s="238"/>
      <c r="F13" s="238"/>
      <c r="G13" s="238"/>
      <c r="H13" s="238"/>
      <c r="I13" s="238"/>
      <c r="J13" s="239"/>
      <c r="K13" s="69"/>
      <c r="L13" s="237" t="s">
        <v>108</v>
      </c>
      <c r="M13" s="238"/>
      <c r="N13" s="238"/>
      <c r="O13" s="238"/>
      <c r="P13" s="238"/>
      <c r="Q13" s="238"/>
      <c r="R13" s="238"/>
      <c r="S13" s="238"/>
      <c r="T13" s="239"/>
    </row>
    <row r="14" spans="1:22" s="12" customFormat="1" ht="18" customHeight="1" thickBot="1" x14ac:dyDescent="0.25">
      <c r="B14" s="70" t="s">
        <v>179</v>
      </c>
      <c r="C14" s="231" t="s">
        <v>195</v>
      </c>
      <c r="D14" s="232"/>
      <c r="E14" s="233"/>
      <c r="F14" s="234" t="s">
        <v>181</v>
      </c>
      <c r="G14" s="235"/>
      <c r="H14" s="236"/>
      <c r="I14" s="81" t="s">
        <v>179</v>
      </c>
      <c r="J14" s="85" t="s">
        <v>185</v>
      </c>
      <c r="K14" s="71"/>
      <c r="L14" s="70" t="s">
        <v>108</v>
      </c>
      <c r="M14" s="231" t="s">
        <v>195</v>
      </c>
      <c r="N14" s="232"/>
      <c r="O14" s="233"/>
      <c r="P14" s="234" t="s">
        <v>181</v>
      </c>
      <c r="Q14" s="235"/>
      <c r="R14" s="236"/>
      <c r="S14" s="81" t="s">
        <v>108</v>
      </c>
      <c r="T14" s="85" t="s">
        <v>185</v>
      </c>
      <c r="V14" s="83" t="s">
        <v>199</v>
      </c>
    </row>
    <row r="15" spans="1:22" s="12" customFormat="1" ht="18" customHeight="1" thickBot="1" x14ac:dyDescent="0.25">
      <c r="A15" s="12" t="s">
        <v>3</v>
      </c>
      <c r="B15" s="72" t="s">
        <v>180</v>
      </c>
      <c r="C15" s="73" t="s">
        <v>182</v>
      </c>
      <c r="D15" s="74" t="s">
        <v>184</v>
      </c>
      <c r="E15" s="75" t="s">
        <v>183</v>
      </c>
      <c r="F15" s="73" t="s">
        <v>182</v>
      </c>
      <c r="G15" s="74" t="s">
        <v>184</v>
      </c>
      <c r="H15" s="75" t="s">
        <v>183</v>
      </c>
      <c r="I15" s="82" t="s">
        <v>193</v>
      </c>
      <c r="J15" s="86" t="s">
        <v>186</v>
      </c>
      <c r="K15" s="71"/>
      <c r="L15" s="72" t="s">
        <v>180</v>
      </c>
      <c r="M15" s="73" t="s">
        <v>182</v>
      </c>
      <c r="N15" s="74" t="s">
        <v>184</v>
      </c>
      <c r="O15" s="75" t="s">
        <v>183</v>
      </c>
      <c r="P15" s="73" t="s">
        <v>182</v>
      </c>
      <c r="Q15" s="74" t="s">
        <v>184</v>
      </c>
      <c r="R15" s="75" t="s">
        <v>183</v>
      </c>
      <c r="S15" s="82" t="s">
        <v>193</v>
      </c>
      <c r="T15" s="86" t="s">
        <v>186</v>
      </c>
      <c r="V15" s="84" t="s">
        <v>188</v>
      </c>
    </row>
    <row r="16" spans="1:22" ht="18" customHeight="1" x14ac:dyDescent="0.2">
      <c r="B16" s="3"/>
      <c r="K16" s="2"/>
      <c r="L16" s="2"/>
      <c r="T16" s="3"/>
    </row>
    <row r="17" spans="1:22" ht="18" customHeight="1" x14ac:dyDescent="0.2">
      <c r="A17" s="2" t="s">
        <v>5</v>
      </c>
      <c r="B17" s="100">
        <f>INDEX('2017 CP'!$B$8:$V$43,MATCH($A17,'2017 CP'!$B$8:$B$43,0),MATCH(B$13,'2017 CP'!$B$8:$V$8,0))</f>
        <v>351500.00945567666</v>
      </c>
      <c r="C17" s="14">
        <v>0</v>
      </c>
      <c r="D17" s="14">
        <v>0.39212000000000102</v>
      </c>
      <c r="E17" s="14">
        <v>0.60788000000000098</v>
      </c>
      <c r="F17" s="14">
        <v>1.0218365995754572</v>
      </c>
      <c r="G17" s="14">
        <v>1.0348230509591971</v>
      </c>
      <c r="H17" s="14">
        <v>1.0644101236847672</v>
      </c>
      <c r="I17" s="10">
        <f t="shared" ref="I17:I33" si="0">(B17*C17*F17)+(B17*D17*G17)+(B17*E17*H17)</f>
        <v>370062.17687077419</v>
      </c>
      <c r="J17" s="77">
        <f t="shared" ref="J17:J33" si="1">+I17/I$36</f>
        <v>1.8551020630065203E-2</v>
      </c>
      <c r="K17" s="2"/>
      <c r="L17" s="10">
        <f>INDEX('2017 SALES'!$B$8:$Q$42,MATCH($A17,'2017 SALES'!$B$8:$B$42,0),MATCH("KWH SALES",'2017 SALES'!$B$8:$Q$8,0))/1000</f>
        <v>2696313.2859999998</v>
      </c>
      <c r="M17" s="14">
        <v>0</v>
      </c>
      <c r="N17" s="14">
        <v>0.39212000000000102</v>
      </c>
      <c r="O17" s="14">
        <v>0.60788000000000098</v>
      </c>
      <c r="P17" s="14">
        <v>1.0170051802969728</v>
      </c>
      <c r="Q17" s="14">
        <v>1.0266921244920639</v>
      </c>
      <c r="R17" s="14">
        <v>1.0486289832939273</v>
      </c>
      <c r="S17" s="10">
        <f t="shared" ref="S17:S33" si="2">(L17*M17*P17)+(L17*N17*Q17)+(L17*O17*R17)</f>
        <v>2804238.8935173294</v>
      </c>
      <c r="T17" s="77">
        <f t="shared" ref="T17:T33" si="3">+S17/S$36</f>
        <v>2.482140945190052E-2</v>
      </c>
      <c r="U17" s="76"/>
      <c r="V17" s="77">
        <f>(+J17*0.75)+(T17*0.25)</f>
        <v>2.011861783552403E-2</v>
      </c>
    </row>
    <row r="18" spans="1:22" ht="18" customHeight="1" x14ac:dyDescent="0.2">
      <c r="A18" s="2" t="s">
        <v>6</v>
      </c>
      <c r="B18" s="100">
        <f>INDEX('2017 CP'!$B$8:$V$43,MATCH($A18,'2017 CP'!$B$8:$B$43,0),MATCH(B$13,'2017 CP'!$B$8:$V$8,0))</f>
        <v>13598.809688186566</v>
      </c>
      <c r="C18" s="14">
        <v>0</v>
      </c>
      <c r="D18" s="14">
        <v>1.4280000000000998E-2</v>
      </c>
      <c r="E18" s="14">
        <v>0.98572000000000104</v>
      </c>
      <c r="F18" s="14">
        <v>1.0218365995754572</v>
      </c>
      <c r="G18" s="14">
        <v>1.0348230509591971</v>
      </c>
      <c r="H18" s="14">
        <v>1.0644101236847672</v>
      </c>
      <c r="I18" s="10">
        <f t="shared" si="0"/>
        <v>14468.965158859201</v>
      </c>
      <c r="J18" s="77">
        <f t="shared" si="1"/>
        <v>7.2532154846892643E-4</v>
      </c>
      <c r="K18" s="2"/>
      <c r="L18" s="10">
        <f>INDEX('2017 SALES'!$B$8:$Q$42,MATCH($A18,'2017 SALES'!$B$8:$B$42,0),MATCH("KWH SALES",'2017 SALES'!$B$8:$Q$8,0))/1000</f>
        <v>101976.406</v>
      </c>
      <c r="M18" s="14">
        <v>0</v>
      </c>
      <c r="N18" s="14">
        <v>1.4280000000000998E-2</v>
      </c>
      <c r="O18" s="14">
        <v>0.98572000000000104</v>
      </c>
      <c r="P18" s="14">
        <v>1.0170051802969728</v>
      </c>
      <c r="Q18" s="14">
        <v>1.0266921244920639</v>
      </c>
      <c r="R18" s="14">
        <v>1.0486289832939273</v>
      </c>
      <c r="S18" s="10">
        <f t="shared" si="2"/>
        <v>106903.46998370987</v>
      </c>
      <c r="T18" s="77">
        <f t="shared" si="3"/>
        <v>9.4624420423980611E-4</v>
      </c>
      <c r="U18" s="76"/>
      <c r="V18" s="77">
        <f t="shared" ref="V18:V33" si="4">(+J18*0.75)+(T18*0.25)</f>
        <v>7.8055221241164633E-4</v>
      </c>
    </row>
    <row r="19" spans="1:22" ht="18" customHeight="1" x14ac:dyDescent="0.2">
      <c r="A19" s="2" t="s">
        <v>7</v>
      </c>
      <c r="B19" s="100">
        <f>INDEX('2017 CP'!$B$8:$V$43,MATCH($A19,'2017 CP'!$B$8:$B$43,0),MATCH(B$13,'2017 CP'!$B$8:$V$8,0))</f>
        <v>188371.35911641517</v>
      </c>
      <c r="C19" s="14">
        <v>1.0000000000000011</v>
      </c>
      <c r="D19" s="14">
        <v>0</v>
      </c>
      <c r="E19" s="14">
        <v>0</v>
      </c>
      <c r="F19" s="14">
        <v>1.0218365995754572</v>
      </c>
      <c r="G19" s="14">
        <v>1.0348230509591971</v>
      </c>
      <c r="H19" s="14">
        <v>1.0644101236847672</v>
      </c>
      <c r="I19" s="10">
        <f t="shared" si="0"/>
        <v>192484.74905692521</v>
      </c>
      <c r="J19" s="77">
        <f t="shared" si="1"/>
        <v>9.6491583682567564E-3</v>
      </c>
      <c r="K19" s="2"/>
      <c r="L19" s="10">
        <f>INDEX('2017 SALES'!$B$8:$Q$42,MATCH($A19,'2017 SALES'!$B$8:$B$42,0),MATCH("KWH SALES",'2017 SALES'!$B$8:$Q$8,0))/1000</f>
        <v>1508921.571</v>
      </c>
      <c r="M19" s="14">
        <v>1.0000000000000011</v>
      </c>
      <c r="N19" s="14">
        <v>0</v>
      </c>
      <c r="O19" s="14">
        <v>0</v>
      </c>
      <c r="P19" s="14">
        <v>1.0170051802969728</v>
      </c>
      <c r="Q19" s="14">
        <v>1.0266921244920639</v>
      </c>
      <c r="R19" s="14">
        <v>1.0486289832939273</v>
      </c>
      <c r="S19" s="10">
        <f t="shared" si="2"/>
        <v>1534581.0543688482</v>
      </c>
      <c r="T19" s="77">
        <f t="shared" si="3"/>
        <v>1.3583173949863414E-2</v>
      </c>
      <c r="U19" s="76"/>
      <c r="V19" s="77">
        <f t="shared" si="4"/>
        <v>1.0632662263658421E-2</v>
      </c>
    </row>
    <row r="20" spans="1:22" ht="18" customHeight="1" x14ac:dyDescent="0.2">
      <c r="A20" s="2" t="s">
        <v>171</v>
      </c>
      <c r="B20" s="100">
        <f>INDEX('2017 CP'!$B$8:$V$43,MATCH($A20,'2017 CP'!$B$8:$B$43,0),MATCH(B$13,'2017 CP'!$B$8:$V$8,0))</f>
        <v>1050396.3714840773</v>
      </c>
      <c r="C20" s="14">
        <v>0</v>
      </c>
      <c r="D20" s="14">
        <v>0</v>
      </c>
      <c r="E20" s="14">
        <v>1.0000000000000011</v>
      </c>
      <c r="F20" s="14">
        <v>1.0218365995754572</v>
      </c>
      <c r="G20" s="14">
        <v>1.0348230509591971</v>
      </c>
      <c r="H20" s="14">
        <v>1.0644101236847672</v>
      </c>
      <c r="I20" s="10">
        <f t="shared" si="0"/>
        <v>1118052.5316893987</v>
      </c>
      <c r="J20" s="77">
        <f t="shared" si="1"/>
        <v>5.6047380351733248E-2</v>
      </c>
      <c r="K20" s="2"/>
      <c r="L20" s="10">
        <f>INDEX('2017 SALES'!$B$8:$Q$42,MATCH($A20,'2017 SALES'!$B$8:$B$42,0),MATCH("KWH SALES",'2017 SALES'!$B$8:$Q$8,0))/1000</f>
        <v>5996275.1279999996</v>
      </c>
      <c r="M20" s="14">
        <v>0</v>
      </c>
      <c r="N20" s="14">
        <v>0</v>
      </c>
      <c r="O20" s="14">
        <v>1.0000000000000011</v>
      </c>
      <c r="P20" s="14">
        <v>1.0170051802969728</v>
      </c>
      <c r="Q20" s="14">
        <v>1.0266921244920639</v>
      </c>
      <c r="R20" s="14">
        <v>1.0486289832939273</v>
      </c>
      <c r="S20" s="10">
        <f t="shared" si="2"/>
        <v>6287867.8910253104</v>
      </c>
      <c r="T20" s="77">
        <f t="shared" si="3"/>
        <v>5.565636503487606E-2</v>
      </c>
      <c r="U20" s="76"/>
      <c r="V20" s="77">
        <f t="shared" si="4"/>
        <v>5.5949626522518954E-2</v>
      </c>
    </row>
    <row r="21" spans="1:22" ht="18" customHeight="1" x14ac:dyDescent="0.2">
      <c r="A21" s="2" t="s">
        <v>12</v>
      </c>
      <c r="B21" s="100">
        <f>INDEX('2017 CP'!$B$8:$V$43,MATCH($A21,'2017 CP'!$B$8:$B$43,0),MATCH(B$13,'2017 CP'!$B$8:$V$8,0))</f>
        <v>8410.4728895070893</v>
      </c>
      <c r="C21" s="14">
        <v>0</v>
      </c>
      <c r="D21" s="14">
        <v>0</v>
      </c>
      <c r="E21" s="14">
        <v>1.0000000000000011</v>
      </c>
      <c r="F21" s="14">
        <v>1.0218365995754572</v>
      </c>
      <c r="G21" s="14">
        <v>1.0348230509591971</v>
      </c>
      <c r="H21" s="14">
        <v>1.0644101236847672</v>
      </c>
      <c r="I21" s="10">
        <f t="shared" si="0"/>
        <v>8952.1924885676326</v>
      </c>
      <c r="J21" s="77">
        <f t="shared" si="1"/>
        <v>4.4876866083432617E-4</v>
      </c>
      <c r="K21" s="2"/>
      <c r="L21" s="10">
        <f>INDEX('2017 SALES'!$B$8:$Q$42,MATCH($A21,'2017 SALES'!$B$8:$B$42,0),MATCH("KWH SALES",'2017 SALES'!$B$8:$Q$8,0))/1000</f>
        <v>70241.817999999999</v>
      </c>
      <c r="M21" s="14">
        <v>0</v>
      </c>
      <c r="N21" s="14">
        <v>0</v>
      </c>
      <c r="O21" s="14">
        <v>1.0000000000000011</v>
      </c>
      <c r="P21" s="14">
        <v>1.0170051802969728</v>
      </c>
      <c r="Q21" s="14">
        <v>1.0266921244920639</v>
      </c>
      <c r="R21" s="14">
        <v>1.0486289832939273</v>
      </c>
      <c r="S21" s="10">
        <f t="shared" si="2"/>
        <v>73657.606194057153</v>
      </c>
      <c r="T21" s="77">
        <f t="shared" si="3"/>
        <v>6.519721293417822E-4</v>
      </c>
      <c r="U21" s="76"/>
      <c r="V21" s="77">
        <f t="shared" si="4"/>
        <v>4.9956952796119023E-4</v>
      </c>
    </row>
    <row r="22" spans="1:22" ht="18" customHeight="1" x14ac:dyDescent="0.2">
      <c r="A22" s="2" t="s">
        <v>170</v>
      </c>
      <c r="B22" s="100">
        <f>INDEX('2017 CP'!$B$8:$V$43,MATCH($A22,'2017 CP'!$B$8:$B$43,0),MATCH(B$13,'2017 CP'!$B$8:$V$8,0))</f>
        <v>4061369.0568574271</v>
      </c>
      <c r="C22" s="14">
        <v>0</v>
      </c>
      <c r="D22" s="14">
        <v>2.8800000000010002E-3</v>
      </c>
      <c r="E22" s="14">
        <v>0.99712000000000101</v>
      </c>
      <c r="F22" s="14">
        <v>1.0218365995754572</v>
      </c>
      <c r="G22" s="14">
        <v>1.0348230509591971</v>
      </c>
      <c r="H22" s="14">
        <v>1.0644101236847672</v>
      </c>
      <c r="I22" s="10">
        <f t="shared" si="0"/>
        <v>4322616.2677567555</v>
      </c>
      <c r="J22" s="77">
        <f t="shared" si="1"/>
        <v>0.21669046060606462</v>
      </c>
      <c r="K22" s="2"/>
      <c r="L22" s="10">
        <f>INDEX('2017 SALES'!$B$8:$Q$42,MATCH($A22,'2017 SALES'!$B$8:$B$42,0),MATCH("KWH SALES",'2017 SALES'!$B$8:$Q$8,0))/1000</f>
        <v>25944232.965</v>
      </c>
      <c r="M22" s="14">
        <v>0</v>
      </c>
      <c r="N22" s="14">
        <v>2.8800000000010002E-3</v>
      </c>
      <c r="O22" s="14">
        <v>0.99712000000000101</v>
      </c>
      <c r="P22" s="14">
        <v>1.0170051802969728</v>
      </c>
      <c r="Q22" s="14">
        <v>1.0266921244920639</v>
      </c>
      <c r="R22" s="14">
        <v>1.0486289832939273</v>
      </c>
      <c r="S22" s="10">
        <f t="shared" si="2"/>
        <v>27204235.527700003</v>
      </c>
      <c r="T22" s="77">
        <f t="shared" si="3"/>
        <v>0.24079527262102282</v>
      </c>
      <c r="U22" s="76"/>
      <c r="V22" s="77">
        <f t="shared" si="4"/>
        <v>0.22271666360980416</v>
      </c>
    </row>
    <row r="23" spans="1:22" ht="18" customHeight="1" x14ac:dyDescent="0.2">
      <c r="A23" s="2" t="s">
        <v>172</v>
      </c>
      <c r="B23" s="100">
        <f>INDEX('2017 CP'!$B$8:$V$43,MATCH($A23,'2017 CP'!$B$8:$B$43,0),MATCH(B$13,'2017 CP'!$B$8:$V$8,0))</f>
        <v>1641120.3789091483</v>
      </c>
      <c r="C23" s="14">
        <v>0</v>
      </c>
      <c r="D23" s="14">
        <v>3.9350000000001002E-2</v>
      </c>
      <c r="E23" s="14">
        <v>0.960650000000001</v>
      </c>
      <c r="F23" s="14">
        <v>1.0218365995754572</v>
      </c>
      <c r="G23" s="14">
        <v>1.0348230509591971</v>
      </c>
      <c r="H23" s="14">
        <v>1.0644101236847672</v>
      </c>
      <c r="I23" s="10">
        <f t="shared" si="0"/>
        <v>1744914.4689423954</v>
      </c>
      <c r="J23" s="77">
        <f t="shared" si="1"/>
        <v>8.7471636752418591E-2</v>
      </c>
      <c r="K23" s="2"/>
      <c r="L23" s="10">
        <f>INDEX('2017 SALES'!$B$8:$Q$42,MATCH($A23,'2017 SALES'!$B$8:$B$42,0),MATCH("KWH SALES",'2017 SALES'!$B$8:$Q$8,0))/1000</f>
        <v>10554686.881999999</v>
      </c>
      <c r="M23" s="14">
        <v>0</v>
      </c>
      <c r="N23" s="14">
        <v>3.9350000000001002E-2</v>
      </c>
      <c r="O23" s="14">
        <v>0.960650000000001</v>
      </c>
      <c r="P23" s="14">
        <v>1.0170051802969728</v>
      </c>
      <c r="Q23" s="14">
        <v>1.0266921244920639</v>
      </c>
      <c r="R23" s="14">
        <v>1.0486289832939273</v>
      </c>
      <c r="S23" s="10">
        <f t="shared" si="2"/>
        <v>11058839.605863588</v>
      </c>
      <c r="T23" s="77">
        <f t="shared" si="3"/>
        <v>9.7886091857080207E-2</v>
      </c>
      <c r="U23" s="76"/>
      <c r="V23" s="77">
        <f t="shared" si="4"/>
        <v>9.0075250528583992E-2</v>
      </c>
    </row>
    <row r="24" spans="1:22" ht="18" customHeight="1" x14ac:dyDescent="0.2">
      <c r="A24" s="2" t="s">
        <v>174</v>
      </c>
      <c r="B24" s="100">
        <f>INDEX('2017 CP'!$B$8:$V$43,MATCH($A24,'2017 CP'!$B$8:$B$43,0),MATCH(B$13,'2017 CP'!$B$8:$V$8,0))</f>
        <v>328269.18904842751</v>
      </c>
      <c r="C24" s="14">
        <v>0</v>
      </c>
      <c r="D24" s="14">
        <v>0.325210000000001</v>
      </c>
      <c r="E24" s="14">
        <v>0.674790000000001</v>
      </c>
      <c r="F24" s="14">
        <v>1.0218365995754572</v>
      </c>
      <c r="G24" s="14">
        <v>1.0348230509591971</v>
      </c>
      <c r="H24" s="14">
        <v>1.0644101236847672</v>
      </c>
      <c r="I24" s="10">
        <f t="shared" si="0"/>
        <v>346254.43806658755</v>
      </c>
      <c r="J24" s="77">
        <f t="shared" si="1"/>
        <v>1.7357551312432405E-2</v>
      </c>
      <c r="K24" s="2"/>
      <c r="L24" s="10">
        <f>INDEX('2017 SALES'!$B$8:$Q$42,MATCH($A24,'2017 SALES'!$B$8:$B$42,0),MATCH("KWH SALES",'2017 SALES'!$B$8:$Q$8,0))/1000</f>
        <v>2526124.898</v>
      </c>
      <c r="M24" s="14">
        <v>0</v>
      </c>
      <c r="N24" s="14">
        <v>0.325210000000001</v>
      </c>
      <c r="O24" s="14">
        <v>0.674790000000001</v>
      </c>
      <c r="P24" s="14">
        <v>1.0170051802969728</v>
      </c>
      <c r="Q24" s="14">
        <v>1.0266921244920639</v>
      </c>
      <c r="R24" s="14">
        <v>1.0486289832939273</v>
      </c>
      <c r="S24" s="10">
        <f t="shared" si="2"/>
        <v>2630946.1915706568</v>
      </c>
      <c r="T24" s="77">
        <f t="shared" si="3"/>
        <v>2.3287528326441428E-2</v>
      </c>
      <c r="U24" s="76"/>
      <c r="V24" s="77">
        <f t="shared" si="4"/>
        <v>1.884004556593466E-2</v>
      </c>
    </row>
    <row r="25" spans="1:22" ht="18" customHeight="1" x14ac:dyDescent="0.2">
      <c r="A25" s="2" t="s">
        <v>175</v>
      </c>
      <c r="B25" s="100">
        <f>INDEX('2017 CP'!$B$8:$V$43,MATCH($A25,'2017 CP'!$B$8:$B$43,0),MATCH(B$13,'2017 CP'!$B$8:$V$8,0))</f>
        <v>22898.095130678837</v>
      </c>
      <c r="C25" s="14">
        <v>1.0000000000000011</v>
      </c>
      <c r="D25" s="14">
        <v>0</v>
      </c>
      <c r="E25" s="14">
        <v>0</v>
      </c>
      <c r="F25" s="14">
        <v>1.0218365995754572</v>
      </c>
      <c r="G25" s="14">
        <v>1.0348230509591971</v>
      </c>
      <c r="H25" s="14">
        <v>1.0644101236847672</v>
      </c>
      <c r="I25" s="10">
        <f t="shared" si="0"/>
        <v>23398.111665088225</v>
      </c>
      <c r="J25" s="77">
        <f t="shared" si="1"/>
        <v>1.1729349264331718E-3</v>
      </c>
      <c r="K25" s="2"/>
      <c r="L25" s="10">
        <f>INDEX('2017 SALES'!$B$8:$Q$42,MATCH($A25,'2017 SALES'!$B$8:$B$42,0),MATCH("KWH SALES",'2017 SALES'!$B$8:$Q$8,0))/1000</f>
        <v>173041.71400000001</v>
      </c>
      <c r="M25" s="14">
        <v>1.0000000000000011</v>
      </c>
      <c r="N25" s="14">
        <v>0</v>
      </c>
      <c r="O25" s="14">
        <v>0</v>
      </c>
      <c r="P25" s="14">
        <v>1.0170051802969728</v>
      </c>
      <c r="Q25" s="14">
        <v>1.0266921244920639</v>
      </c>
      <c r="R25" s="14">
        <v>1.0486289832939273</v>
      </c>
      <c r="S25" s="10">
        <f t="shared" si="2"/>
        <v>175984.31954546741</v>
      </c>
      <c r="T25" s="77">
        <f t="shared" si="3"/>
        <v>1.5577056800154363E-3</v>
      </c>
      <c r="U25" s="76"/>
      <c r="V25" s="77">
        <f t="shared" si="4"/>
        <v>1.2691276148287379E-3</v>
      </c>
    </row>
    <row r="26" spans="1:22" ht="18" customHeight="1" x14ac:dyDescent="0.2">
      <c r="A26" s="2" t="s">
        <v>20</v>
      </c>
      <c r="B26" s="100">
        <f>INDEX('2017 CP'!$B$8:$V$43,MATCH($A26,'2017 CP'!$B$8:$B$43,0),MATCH(B$13,'2017 CP'!$B$8:$V$8,0))</f>
        <v>14496.859645580751</v>
      </c>
      <c r="C26" s="14">
        <v>0</v>
      </c>
      <c r="D26" s="14">
        <v>1.0000000000000011</v>
      </c>
      <c r="E26" s="14">
        <v>0</v>
      </c>
      <c r="F26" s="14">
        <v>1.0218365995754572</v>
      </c>
      <c r="G26" s="14">
        <v>1.0348230509591971</v>
      </c>
      <c r="H26" s="14">
        <v>1.0644101236847672</v>
      </c>
      <c r="I26" s="10">
        <f t="shared" si="0"/>
        <v>15001.684527767155</v>
      </c>
      <c r="J26" s="77">
        <f t="shared" si="1"/>
        <v>7.520264878556331E-4</v>
      </c>
      <c r="K26" s="2"/>
      <c r="L26" s="10">
        <f>INDEX('2017 SALES'!$B$8:$Q$42,MATCH($A26,'2017 SALES'!$B$8:$B$42,0),MATCH("KWH SALES",'2017 SALES'!$B$8:$Q$8,0))/1000</f>
        <v>91208.296000000002</v>
      </c>
      <c r="M26" s="14">
        <v>0</v>
      </c>
      <c r="N26" s="14">
        <v>1.0000000000000011</v>
      </c>
      <c r="O26" s="14">
        <v>0</v>
      </c>
      <c r="P26" s="14">
        <v>1.0170051802969728</v>
      </c>
      <c r="Q26" s="14">
        <v>1.0266921244920639</v>
      </c>
      <c r="R26" s="14">
        <v>1.0486289832939273</v>
      </c>
      <c r="S26" s="10">
        <f t="shared" si="2"/>
        <v>93642.839191541119</v>
      </c>
      <c r="T26" s="77">
        <f t="shared" si="3"/>
        <v>8.2886920197312896E-4</v>
      </c>
      <c r="U26" s="76"/>
      <c r="V26" s="77">
        <f t="shared" si="4"/>
        <v>7.7123716638500715E-4</v>
      </c>
    </row>
    <row r="27" spans="1:22" ht="18" customHeight="1" x14ac:dyDescent="0.2">
      <c r="A27" s="2" t="s">
        <v>21</v>
      </c>
      <c r="B27" s="100">
        <f>INDEX('2017 CP'!$B$8:$V$43,MATCH($A27,'2017 CP'!$B$8:$B$43,0),MATCH(B$13,'2017 CP'!$B$8:$V$8,0))</f>
        <v>1859.4214516773366</v>
      </c>
      <c r="C27" s="14">
        <v>0</v>
      </c>
      <c r="D27" s="14">
        <v>0</v>
      </c>
      <c r="E27" s="14">
        <v>1.0000000000000011</v>
      </c>
      <c r="F27" s="14">
        <v>1.0218365995754572</v>
      </c>
      <c r="G27" s="14">
        <v>1.0348230509591971</v>
      </c>
      <c r="H27" s="14">
        <v>1.0644101236847672</v>
      </c>
      <c r="I27" s="10">
        <f t="shared" si="0"/>
        <v>1979.1870173619852</v>
      </c>
      <c r="J27" s="77">
        <f t="shared" si="1"/>
        <v>9.9215595336728013E-5</v>
      </c>
      <c r="K27" s="2"/>
      <c r="L27" s="10">
        <f>INDEX('2017 SALES'!$B$8:$Q$42,MATCH($A27,'2017 SALES'!$B$8:$B$42,0),MATCH("KWH SALES",'2017 SALES'!$B$8:$Q$8,0))/1000</f>
        <v>97899.983999999997</v>
      </c>
      <c r="M27" s="14">
        <v>0</v>
      </c>
      <c r="N27" s="14">
        <v>0</v>
      </c>
      <c r="O27" s="14">
        <v>1.0000000000000011</v>
      </c>
      <c r="P27" s="14">
        <v>1.0170051802969728</v>
      </c>
      <c r="Q27" s="14">
        <v>1.0266921244920639</v>
      </c>
      <c r="R27" s="14">
        <v>1.0486289832939273</v>
      </c>
      <c r="S27" s="10">
        <f t="shared" si="2"/>
        <v>102660.76068641186</v>
      </c>
      <c r="T27" s="77">
        <f t="shared" si="3"/>
        <v>9.0869033359880307E-4</v>
      </c>
      <c r="U27" s="76"/>
      <c r="V27" s="77">
        <f t="shared" si="4"/>
        <v>3.0158427990224681E-4</v>
      </c>
    </row>
    <row r="28" spans="1:22" ht="18" customHeight="1" x14ac:dyDescent="0.2">
      <c r="A28" s="2" t="s">
        <v>22</v>
      </c>
      <c r="B28" s="100">
        <f>INDEX('2017 CP'!$B$8:$V$43,MATCH($A28,'2017 CP'!$B$8:$B$43,0),MATCH(B$13,'2017 CP'!$B$8:$V$8,0))</f>
        <v>1332.93593124623</v>
      </c>
      <c r="C28" s="14">
        <v>0</v>
      </c>
      <c r="D28" s="14">
        <v>1.0000000000000011</v>
      </c>
      <c r="E28" s="14">
        <v>0</v>
      </c>
      <c r="F28" s="14">
        <v>1.0218365995754572</v>
      </c>
      <c r="G28" s="14">
        <v>1.0348230509591971</v>
      </c>
      <c r="H28" s="14">
        <v>1.0644101236847672</v>
      </c>
      <c r="I28" s="10">
        <f t="shared" si="0"/>
        <v>1379.352827105364</v>
      </c>
      <c r="J28" s="77">
        <f t="shared" si="1"/>
        <v>6.9146225556322783E-5</v>
      </c>
      <c r="K28" s="2"/>
      <c r="L28" s="10">
        <f>INDEX('2017 SALES'!$B$8:$Q$42,MATCH($A28,'2017 SALES'!$B$8:$B$42,0),MATCH("KWH SALES",'2017 SALES'!$B$8:$Q$8,0))/1000</f>
        <v>10793.313</v>
      </c>
      <c r="M28" s="14">
        <v>0</v>
      </c>
      <c r="N28" s="14">
        <v>0.25134000000000101</v>
      </c>
      <c r="O28" s="14">
        <v>0.74866000000000099</v>
      </c>
      <c r="P28" s="14">
        <v>1.0170051802969728</v>
      </c>
      <c r="Q28" s="14">
        <v>1.0266921244920639</v>
      </c>
      <c r="R28" s="14">
        <v>1.0486289832939273</v>
      </c>
      <c r="S28" s="10">
        <f t="shared" si="2"/>
        <v>11258.670718088219</v>
      </c>
      <c r="T28" s="77">
        <f t="shared" si="3"/>
        <v>9.9654874776831679E-5</v>
      </c>
      <c r="U28" s="76"/>
      <c r="V28" s="77">
        <f t="shared" si="4"/>
        <v>7.6773387861450007E-5</v>
      </c>
    </row>
    <row r="29" spans="1:22" ht="18" customHeight="1" x14ac:dyDescent="0.2">
      <c r="A29" s="2" t="s">
        <v>169</v>
      </c>
      <c r="B29" s="100">
        <f>INDEX('2017 CP'!$B$8:$V$43,MATCH($A29,'2017 CP'!$B$8:$B$43,0),MATCH(B$13,'2017 CP'!$B$8:$V$8,0))</f>
        <v>11049744.204635767</v>
      </c>
      <c r="C29" s="14">
        <v>0</v>
      </c>
      <c r="D29" s="14">
        <v>0</v>
      </c>
      <c r="E29" s="14">
        <v>1.0000000000000011</v>
      </c>
      <c r="F29" s="14">
        <v>1.0218365995754572</v>
      </c>
      <c r="G29" s="14">
        <v>1.0348230509591971</v>
      </c>
      <c r="H29" s="14">
        <v>1.0644101236847672</v>
      </c>
      <c r="I29" s="10">
        <f t="shared" si="0"/>
        <v>11761459.59554141</v>
      </c>
      <c r="J29" s="77">
        <f t="shared" si="1"/>
        <v>0.58959573075407268</v>
      </c>
      <c r="K29" s="2"/>
      <c r="L29" s="10">
        <f>INDEX('2017 SALES'!$B$8:$Q$42,MATCH($A29,'2017 SALES'!$B$8:$B$42,0),MATCH("KWH SALES",'2017 SALES'!$B$8:$Q$8,0))/1000</f>
        <v>57375392.961000003</v>
      </c>
      <c r="M29" s="14">
        <v>0</v>
      </c>
      <c r="N29" s="14">
        <v>0</v>
      </c>
      <c r="O29" s="14">
        <v>1.0000000000000011</v>
      </c>
      <c r="P29" s="14">
        <v>1.0170051802969728</v>
      </c>
      <c r="Q29" s="14">
        <v>1.0266921244920639</v>
      </c>
      <c r="R29" s="14">
        <v>1.0486289832939273</v>
      </c>
      <c r="S29" s="10">
        <f t="shared" si="2"/>
        <v>60165499.986783057</v>
      </c>
      <c r="T29" s="77">
        <f t="shared" si="3"/>
        <v>0.53254824811915713</v>
      </c>
      <c r="U29" s="76"/>
      <c r="V29" s="77">
        <f t="shared" si="4"/>
        <v>0.57533386009534382</v>
      </c>
    </row>
    <row r="30" spans="1:22" ht="18" customHeight="1" x14ac:dyDescent="0.2">
      <c r="A30" s="2" t="s">
        <v>27</v>
      </c>
      <c r="B30" s="100">
        <f>INDEX('2017 CP'!$B$8:$V$43,MATCH($A30,'2017 CP'!$B$8:$B$43,0),MATCH(B$13,'2017 CP'!$B$8:$V$8,0))</f>
        <v>10942.344746687342</v>
      </c>
      <c r="C30" s="14">
        <v>0</v>
      </c>
      <c r="D30" s="14">
        <v>0</v>
      </c>
      <c r="E30" s="14">
        <v>1.0000000000000011</v>
      </c>
      <c r="F30" s="14">
        <v>1.0218365995754572</v>
      </c>
      <c r="G30" s="14">
        <v>1.0348230509591971</v>
      </c>
      <c r="H30" s="14">
        <v>1.0644101236847672</v>
      </c>
      <c r="I30" s="10">
        <f t="shared" si="0"/>
        <v>11647.142525222849</v>
      </c>
      <c r="J30" s="77">
        <f t="shared" si="1"/>
        <v>5.8386507665756184E-4</v>
      </c>
      <c r="K30" s="2"/>
      <c r="L30" s="10">
        <f>INDEX('2017 SALES'!$B$8:$Q$42,MATCH($A30,'2017 SALES'!$B$8:$B$42,0),MATCH("KWH SALES",'2017 SALES'!$B$8:$Q$8,0))/1000</f>
        <v>561284.64500000002</v>
      </c>
      <c r="M30" s="14">
        <v>0</v>
      </c>
      <c r="N30" s="14">
        <v>0</v>
      </c>
      <c r="O30" s="14">
        <v>1.0000000000000011</v>
      </c>
      <c r="P30" s="14">
        <v>1.0170051802969728</v>
      </c>
      <c r="Q30" s="14">
        <v>1.0266921244920639</v>
      </c>
      <c r="R30" s="14">
        <v>1.0486289832939273</v>
      </c>
      <c r="S30" s="10">
        <f t="shared" si="2"/>
        <v>588579.34662484354</v>
      </c>
      <c r="T30" s="77">
        <f t="shared" si="3"/>
        <v>5.2097447871792884E-3</v>
      </c>
      <c r="U30" s="76"/>
      <c r="V30" s="77">
        <f t="shared" si="4"/>
        <v>1.7403350042879935E-3</v>
      </c>
    </row>
    <row r="31" spans="1:22" ht="18" customHeight="1" x14ac:dyDescent="0.2">
      <c r="A31" s="2" t="s">
        <v>28</v>
      </c>
      <c r="B31" s="100">
        <f>INDEX('2017 CP'!$B$8:$V$43,MATCH($A31,'2017 CP'!$B$8:$B$43,0),MATCH(B$13,'2017 CP'!$B$8:$V$8,0))</f>
        <v>3919.9810954104796</v>
      </c>
      <c r="C31" s="14">
        <v>0</v>
      </c>
      <c r="D31" s="14">
        <v>0</v>
      </c>
      <c r="E31" s="14">
        <v>1.0000000000000011</v>
      </c>
      <c r="F31" s="14">
        <v>1.0218365995754572</v>
      </c>
      <c r="G31" s="14">
        <v>1.0348230509591971</v>
      </c>
      <c r="H31" s="14">
        <v>1.0644101236847672</v>
      </c>
      <c r="I31" s="10">
        <f t="shared" si="0"/>
        <v>4172.4675626078224</v>
      </c>
      <c r="J31" s="77">
        <f t="shared" si="1"/>
        <v>2.0916358566210595E-4</v>
      </c>
      <c r="K31" s="2"/>
      <c r="L31" s="10">
        <f>INDEX('2017 SALES'!$B$8:$Q$42,MATCH($A31,'2017 SALES'!$B$8:$B$42,0),MATCH("KWH SALES",'2017 SALES'!$B$8:$Q$8,0))/1000</f>
        <v>32762.626</v>
      </c>
      <c r="M31" s="14">
        <v>0</v>
      </c>
      <c r="N31" s="14">
        <v>0</v>
      </c>
      <c r="O31" s="14">
        <v>1.0000000000000011</v>
      </c>
      <c r="P31" s="14">
        <v>1.0170051802969728</v>
      </c>
      <c r="Q31" s="14">
        <v>1.0266921244920639</v>
      </c>
      <c r="R31" s="14">
        <v>1.0486289832939273</v>
      </c>
      <c r="S31" s="10">
        <f t="shared" si="2"/>
        <v>34355.839192419226</v>
      </c>
      <c r="T31" s="77">
        <f t="shared" si="3"/>
        <v>3.0409689903026767E-4</v>
      </c>
      <c r="U31" s="76"/>
      <c r="V31" s="77">
        <f t="shared" si="4"/>
        <v>2.3289691400414639E-4</v>
      </c>
    </row>
    <row r="32" spans="1:22" ht="18" customHeight="1" x14ac:dyDescent="0.2">
      <c r="A32" s="2" t="s">
        <v>29</v>
      </c>
      <c r="B32" s="100">
        <f>INDEX('2017 CP'!$B$8:$V$43,MATCH($A32,'2017 CP'!$B$8:$B$43,0),MATCH(B$13,'2017 CP'!$B$8:$V$8,0))</f>
        <v>1725.1004208804845</v>
      </c>
      <c r="C32" s="14">
        <v>0</v>
      </c>
      <c r="D32" s="14">
        <v>1.0000000000000011</v>
      </c>
      <c r="E32" s="14">
        <v>0</v>
      </c>
      <c r="F32" s="14">
        <v>1.0218365995754572</v>
      </c>
      <c r="G32" s="14">
        <v>1.0348230509591971</v>
      </c>
      <c r="H32" s="14">
        <v>1.0644101236847672</v>
      </c>
      <c r="I32" s="10">
        <f t="shared" si="0"/>
        <v>1785.17368074654</v>
      </c>
      <c r="J32" s="77">
        <f t="shared" si="1"/>
        <v>8.9489809684989462E-5</v>
      </c>
      <c r="K32" s="2"/>
      <c r="L32" s="10">
        <f>INDEX('2017 SALES'!$B$8:$Q$42,MATCH($A32,'2017 SALES'!$B$8:$B$42,0),MATCH("KWH SALES",'2017 SALES'!$B$8:$Q$8,0))/1000</f>
        <v>11856.925999999999</v>
      </c>
      <c r="M32" s="14">
        <v>0</v>
      </c>
      <c r="N32" s="14">
        <v>1.0000000000000011</v>
      </c>
      <c r="O32" s="14">
        <v>0</v>
      </c>
      <c r="P32" s="14">
        <v>1.0170051802969728</v>
      </c>
      <c r="Q32" s="14">
        <v>1.0266921244920639</v>
      </c>
      <c r="R32" s="14">
        <v>1.0486289832939273</v>
      </c>
      <c r="S32" s="10">
        <f t="shared" si="2"/>
        <v>12173.412544885203</v>
      </c>
      <c r="T32" s="77">
        <f t="shared" si="3"/>
        <v>1.0775161057141605E-4</v>
      </c>
      <c r="U32" s="76"/>
      <c r="V32" s="77">
        <f t="shared" si="4"/>
        <v>9.4055259906596116E-5</v>
      </c>
    </row>
    <row r="33" spans="1:22" ht="18" customHeight="1" x14ac:dyDescent="0.2">
      <c r="A33" s="2" t="s">
        <v>30</v>
      </c>
      <c r="B33" s="100">
        <f>INDEX('2017 CP'!$B$8:$V$43,MATCH($A33,'2017 CP'!$B$8:$B$43,0),MATCH(B$13,'2017 CP'!$B$8:$V$8,0))</f>
        <v>9509.7630694086529</v>
      </c>
      <c r="C33" s="14">
        <v>1.0000000000000011</v>
      </c>
      <c r="D33" s="14">
        <v>0</v>
      </c>
      <c r="E33" s="14">
        <v>0</v>
      </c>
      <c r="F33" s="14">
        <v>1.0218365995754572</v>
      </c>
      <c r="G33" s="14">
        <v>1.0348230509591971</v>
      </c>
      <c r="H33" s="14">
        <v>1.0644101236847672</v>
      </c>
      <c r="I33" s="10">
        <f t="shared" si="0"/>
        <v>9717.423957612813</v>
      </c>
      <c r="J33" s="77">
        <f t="shared" si="1"/>
        <v>4.8712930846676292E-4</v>
      </c>
      <c r="K33" s="2"/>
      <c r="L33" s="10">
        <f>INDEX('2017 SALES'!$B$8:$Q$42,MATCH($A33,'2017 SALES'!$B$8:$B$42,0),MATCH("KWH SALES",'2017 SALES'!$B$8:$Q$8,0))/1000</f>
        <v>89667.754000000001</v>
      </c>
      <c r="M33" s="14">
        <v>1.0000000000000011</v>
      </c>
      <c r="N33" s="14">
        <v>0</v>
      </c>
      <c r="O33" s="14">
        <v>0</v>
      </c>
      <c r="P33" s="14">
        <v>1.0170051802969728</v>
      </c>
      <c r="Q33" s="14">
        <v>1.0266921244920639</v>
      </c>
      <c r="R33" s="14">
        <v>1.0486289832939273</v>
      </c>
      <c r="S33" s="10">
        <f t="shared" si="2"/>
        <v>91192.570323594715</v>
      </c>
      <c r="T33" s="77">
        <f t="shared" si="3"/>
        <v>8.0718091893164476E-4</v>
      </c>
      <c r="U33" s="76"/>
      <c r="V33" s="77">
        <f t="shared" si="4"/>
        <v>5.6714221108298342E-4</v>
      </c>
    </row>
    <row r="34" spans="1:22" ht="18" customHeight="1" x14ac:dyDescent="0.2">
      <c r="B34" s="10"/>
      <c r="C34" s="14"/>
      <c r="D34" s="14"/>
      <c r="E34" s="14"/>
      <c r="F34" s="14"/>
      <c r="G34" s="14"/>
      <c r="H34" s="14"/>
      <c r="I34" s="10"/>
      <c r="J34" s="77"/>
      <c r="K34" s="2"/>
      <c r="L34" s="10"/>
      <c r="M34" s="14"/>
      <c r="N34" s="14"/>
      <c r="O34" s="14"/>
      <c r="P34" s="14"/>
      <c r="Q34" s="14"/>
      <c r="R34" s="14"/>
      <c r="S34" s="10"/>
      <c r="T34" s="77"/>
      <c r="U34" s="76"/>
      <c r="V34" s="77"/>
    </row>
    <row r="35" spans="1:22" ht="18" customHeight="1" x14ac:dyDescent="0.2">
      <c r="B35" s="3"/>
      <c r="C35" s="14"/>
      <c r="D35" s="14"/>
      <c r="E35" s="14"/>
      <c r="F35" s="14"/>
      <c r="G35" s="14"/>
      <c r="H35" s="14"/>
      <c r="J35" s="77"/>
      <c r="K35" s="2"/>
      <c r="M35" s="14"/>
      <c r="N35" s="14"/>
      <c r="O35" s="14"/>
      <c r="P35" s="14"/>
      <c r="Q35" s="14"/>
      <c r="R35" s="14"/>
      <c r="S35" s="3"/>
      <c r="T35" s="77"/>
      <c r="U35" s="76"/>
      <c r="V35" s="77"/>
    </row>
    <row r="36" spans="1:22" ht="18" customHeight="1" thickBot="1" x14ac:dyDescent="0.25">
      <c r="A36" s="2" t="s">
        <v>173</v>
      </c>
      <c r="B36" s="13">
        <f>SUM(B17:B34)</f>
        <v>18759464.353576206</v>
      </c>
      <c r="C36" s="14"/>
      <c r="D36" s="14"/>
      <c r="E36" s="14"/>
      <c r="F36" s="14"/>
      <c r="G36" s="14"/>
      <c r="H36" s="14"/>
      <c r="I36" s="13">
        <f>SUM(I17:I34)</f>
        <v>19948345.929335184</v>
      </c>
      <c r="J36" s="78">
        <f>SUM(J17:J34)</f>
        <v>1</v>
      </c>
      <c r="K36" s="2"/>
      <c r="L36" s="13">
        <f>SUM(L17:L34)</f>
        <v>107842681.17299999</v>
      </c>
      <c r="M36" s="14"/>
      <c r="N36" s="14"/>
      <c r="O36" s="14"/>
      <c r="P36" s="14"/>
      <c r="Q36" s="14"/>
      <c r="R36" s="14"/>
      <c r="S36" s="13">
        <f>SUM(S17:S34)</f>
        <v>112976617.98583381</v>
      </c>
      <c r="T36" s="78">
        <f>SUM(T17:T34)</f>
        <v>0.99999999999999989</v>
      </c>
      <c r="U36" s="76"/>
      <c r="V36" s="78">
        <f>SUM(V17:V34)</f>
        <v>1</v>
      </c>
    </row>
    <row r="37" spans="1:22" ht="15" customHeight="1" thickTop="1" x14ac:dyDescent="0.2">
      <c r="E37" s="14"/>
      <c r="F37" s="14"/>
      <c r="H37" s="14"/>
      <c r="I37" s="14"/>
      <c r="J37" s="14"/>
      <c r="K37" s="14"/>
      <c r="P37" s="15"/>
    </row>
    <row r="38" spans="1:22" ht="15" customHeight="1" x14ac:dyDescent="0.2">
      <c r="A38" s="16"/>
    </row>
    <row r="39" spans="1:22" ht="15" customHeight="1" x14ac:dyDescent="0.2">
      <c r="A39" s="16" t="s">
        <v>177</v>
      </c>
      <c r="C39" s="2"/>
      <c r="H39" s="2"/>
      <c r="I39" s="2"/>
      <c r="J39" s="2"/>
    </row>
    <row r="40" spans="1:22" ht="15" customHeight="1" x14ac:dyDescent="0.2">
      <c r="A40" s="18" t="s">
        <v>198</v>
      </c>
      <c r="C40" s="2"/>
      <c r="H40" s="2"/>
      <c r="I40" s="2"/>
      <c r="J40" s="2"/>
    </row>
    <row r="41" spans="1:22" ht="15" customHeight="1" x14ac:dyDescent="0.2">
      <c r="A41" s="18" t="s">
        <v>194</v>
      </c>
      <c r="C41" s="2"/>
      <c r="H41" s="2"/>
      <c r="I41" s="2"/>
      <c r="J41" s="2"/>
    </row>
    <row r="42" spans="1:22" ht="15" customHeight="1" x14ac:dyDescent="0.2">
      <c r="A42" s="18" t="s">
        <v>178</v>
      </c>
      <c r="C42" s="2"/>
      <c r="H42" s="2"/>
      <c r="I42" s="2"/>
      <c r="J42" s="2"/>
    </row>
    <row r="43" spans="1:22" ht="15" customHeight="1" x14ac:dyDescent="0.2">
      <c r="A43" s="19" t="s">
        <v>176</v>
      </c>
      <c r="C43" s="2"/>
      <c r="H43" s="2"/>
      <c r="I43" s="2"/>
      <c r="J43" s="2"/>
    </row>
    <row r="44" spans="1:22" ht="15" customHeight="1" x14ac:dyDescent="0.2">
      <c r="C44" s="2"/>
      <c r="H44" s="2"/>
      <c r="I44" s="2"/>
      <c r="J44" s="2"/>
    </row>
    <row r="45" spans="1:22" ht="15" customHeight="1" x14ac:dyDescent="0.2">
      <c r="C45" s="2"/>
      <c r="H45" s="2"/>
      <c r="I45" s="2"/>
      <c r="J45" s="2"/>
    </row>
    <row r="46" spans="1:22" ht="15" customHeight="1" x14ac:dyDescent="0.2">
      <c r="C46" s="2"/>
    </row>
  </sheetData>
  <mergeCells count="8">
    <mergeCell ref="A4:V4"/>
    <mergeCell ref="A5:V5"/>
    <mergeCell ref="C14:E14"/>
    <mergeCell ref="F14:H14"/>
    <mergeCell ref="M14:O14"/>
    <mergeCell ref="P14:R14"/>
    <mergeCell ref="B13:J13"/>
    <mergeCell ref="L13:T13"/>
  </mergeCells>
  <phoneticPr fontId="2" type="noConversion"/>
  <printOptions horizontalCentered="1"/>
  <pageMargins left="0.5" right="0.5" top="0.75" bottom="0.5" header="0" footer="0"/>
  <pageSetup scale="75" pageOrder="overThenDown" orientation="landscape" cellComments="asDisplayed" r:id="rId1"/>
  <headerFooter alignWithMargins="0"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7"/>
  </sheetPr>
  <dimension ref="A1:AA47"/>
  <sheetViews>
    <sheetView showGridLines="0" defaultGridColor="0" colorId="8" zoomScale="75" zoomScaleNormal="75" zoomScaleSheetLayoutView="75" workbookViewId="0">
      <selection activeCell="A2" sqref="A2"/>
    </sheetView>
  </sheetViews>
  <sheetFormatPr defaultColWidth="9.140625" defaultRowHeight="15" customHeight="1" x14ac:dyDescent="0.2"/>
  <cols>
    <col min="1" max="1" width="21" style="2" customWidth="1"/>
    <col min="2" max="2" width="11.7109375" style="2" customWidth="1"/>
    <col min="3" max="8" width="7.42578125" style="3" customWidth="1"/>
    <col min="9" max="9" width="11.85546875" style="3" customWidth="1"/>
    <col min="10" max="10" width="9.28515625" style="3" bestFit="1" customWidth="1"/>
    <col min="11" max="11" width="2.7109375" style="3" customWidth="1"/>
    <col min="12" max="12" width="12.7109375" style="3" hidden="1" customWidth="1"/>
    <col min="13" max="13" width="12.7109375" style="3" bestFit="1" customWidth="1"/>
    <col min="14" max="19" width="7.42578125" style="2" customWidth="1"/>
    <col min="20" max="20" width="12.7109375" style="2" bestFit="1" customWidth="1"/>
    <col min="21" max="21" width="16" style="2" bestFit="1" customWidth="1"/>
    <col min="22" max="22" width="9.28515625" style="2" bestFit="1" customWidth="1"/>
    <col min="23" max="23" width="2.7109375" style="2" customWidth="1"/>
    <col min="24" max="25" width="11.7109375" style="2" customWidth="1"/>
    <col min="26" max="26" width="2.7109375" style="2" customWidth="1"/>
    <col min="27" max="27" width="14.5703125" style="2" customWidth="1"/>
    <col min="28" max="16384" width="9.140625" style="2"/>
  </cols>
  <sheetData>
    <row r="1" spans="1:27" s="224" customFormat="1" ht="15" customHeight="1" x14ac:dyDescent="0.2">
      <c r="A1" s="224" t="s">
        <v>367</v>
      </c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</row>
    <row r="2" spans="1:27" s="224" customFormat="1" ht="15" customHeight="1" x14ac:dyDescent="0.2">
      <c r="A2" s="224" t="s">
        <v>364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</row>
    <row r="3" spans="1:27" s="224" customFormat="1" ht="15" customHeight="1" x14ac:dyDescent="0.2"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</row>
    <row r="4" spans="1:27" s="17" customFormat="1" ht="20.100000000000001" customHeight="1" x14ac:dyDescent="0.2">
      <c r="A4" s="229" t="s">
        <v>242</v>
      </c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29"/>
      <c r="AA4" s="229"/>
    </row>
    <row r="5" spans="1:27" s="17" customFormat="1" ht="20.100000000000001" customHeight="1" x14ac:dyDescent="0.2">
      <c r="A5" s="230" t="s">
        <v>215</v>
      </c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  <c r="Y5" s="230"/>
      <c r="Z5" s="230"/>
      <c r="AA5" s="230"/>
    </row>
    <row r="6" spans="1:27" ht="15" customHeight="1" x14ac:dyDescent="0.2">
      <c r="A6" s="11"/>
    </row>
    <row r="7" spans="1:27" ht="15" customHeight="1" x14ac:dyDescent="0.2">
      <c r="A7" s="16" t="s">
        <v>224</v>
      </c>
    </row>
    <row r="8" spans="1:27" ht="15" customHeight="1" x14ac:dyDescent="0.2">
      <c r="A8" s="79"/>
    </row>
    <row r="9" spans="1:27" ht="15" customHeight="1" x14ac:dyDescent="0.2">
      <c r="A9" s="16" t="s">
        <v>190</v>
      </c>
    </row>
    <row r="10" spans="1:27" ht="15" customHeight="1" thickBot="1" x14ac:dyDescent="0.25">
      <c r="C10" s="8"/>
      <c r="D10" s="8"/>
      <c r="E10" s="8"/>
      <c r="F10" s="2"/>
      <c r="G10" s="8"/>
      <c r="H10" s="9"/>
      <c r="I10" s="8"/>
      <c r="J10" s="8"/>
      <c r="K10" s="8"/>
      <c r="L10" s="8"/>
      <c r="M10" s="8"/>
    </row>
    <row r="11" spans="1:27" ht="18" customHeight="1" thickBot="1" x14ac:dyDescent="0.25">
      <c r="B11" s="237" t="s">
        <v>214</v>
      </c>
      <c r="C11" s="238"/>
      <c r="D11" s="238"/>
      <c r="E11" s="238"/>
      <c r="F11" s="238"/>
      <c r="G11" s="238"/>
      <c r="H11" s="238"/>
      <c r="I11" s="238"/>
      <c r="J11" s="239"/>
      <c r="K11" s="69"/>
      <c r="L11" s="69"/>
      <c r="M11" s="237" t="s">
        <v>217</v>
      </c>
      <c r="N11" s="238"/>
      <c r="O11" s="238"/>
      <c r="P11" s="238"/>
      <c r="Q11" s="238"/>
      <c r="R11" s="238"/>
      <c r="S11" s="238"/>
      <c r="T11" s="238"/>
      <c r="U11" s="238"/>
      <c r="V11" s="239"/>
      <c r="X11" s="242" t="s">
        <v>218</v>
      </c>
      <c r="Y11" s="243"/>
      <c r="AA11" s="83" t="s">
        <v>208</v>
      </c>
    </row>
    <row r="12" spans="1:27" s="12" customFormat="1" ht="18" customHeight="1" thickBot="1" x14ac:dyDescent="0.25">
      <c r="B12" s="70" t="s">
        <v>214</v>
      </c>
      <c r="C12" s="231" t="s">
        <v>195</v>
      </c>
      <c r="D12" s="232"/>
      <c r="E12" s="233"/>
      <c r="F12" s="234" t="s">
        <v>181</v>
      </c>
      <c r="G12" s="235"/>
      <c r="H12" s="236"/>
      <c r="I12" s="81" t="s">
        <v>214</v>
      </c>
      <c r="J12" s="85" t="s">
        <v>185</v>
      </c>
      <c r="K12" s="71"/>
      <c r="L12" s="70" t="s">
        <v>243</v>
      </c>
      <c r="M12" s="70" t="s">
        <v>108</v>
      </c>
      <c r="N12" s="231" t="s">
        <v>195</v>
      </c>
      <c r="O12" s="232"/>
      <c r="P12" s="233"/>
      <c r="Q12" s="234" t="s">
        <v>181</v>
      </c>
      <c r="R12" s="235"/>
      <c r="S12" s="236"/>
      <c r="T12" s="88" t="s">
        <v>108</v>
      </c>
      <c r="U12" s="81" t="s">
        <v>208</v>
      </c>
      <c r="V12" s="85" t="s">
        <v>185</v>
      </c>
      <c r="X12" s="81" t="s">
        <v>208</v>
      </c>
      <c r="Y12" s="85" t="s">
        <v>185</v>
      </c>
      <c r="AA12" s="90" t="s">
        <v>210</v>
      </c>
    </row>
    <row r="13" spans="1:27" s="12" customFormat="1" ht="18" customHeight="1" thickBot="1" x14ac:dyDescent="0.25">
      <c r="A13" s="12" t="s">
        <v>3</v>
      </c>
      <c r="B13" s="72" t="s">
        <v>180</v>
      </c>
      <c r="C13" s="73" t="s">
        <v>182</v>
      </c>
      <c r="D13" s="74" t="s">
        <v>184</v>
      </c>
      <c r="E13" s="75" t="s">
        <v>183</v>
      </c>
      <c r="F13" s="73" t="s">
        <v>182</v>
      </c>
      <c r="G13" s="74" t="s">
        <v>184</v>
      </c>
      <c r="H13" s="75" t="s">
        <v>183</v>
      </c>
      <c r="I13" s="82" t="s">
        <v>193</v>
      </c>
      <c r="J13" s="86" t="s">
        <v>186</v>
      </c>
      <c r="K13" s="71"/>
      <c r="L13" s="72" t="s">
        <v>180</v>
      </c>
      <c r="M13" s="72" t="s">
        <v>180</v>
      </c>
      <c r="N13" s="73" t="s">
        <v>182</v>
      </c>
      <c r="O13" s="74" t="s">
        <v>184</v>
      </c>
      <c r="P13" s="75" t="s">
        <v>183</v>
      </c>
      <c r="Q13" s="73" t="s">
        <v>182</v>
      </c>
      <c r="R13" s="74" t="s">
        <v>184</v>
      </c>
      <c r="S13" s="75" t="s">
        <v>183</v>
      </c>
      <c r="T13" s="89" t="s">
        <v>193</v>
      </c>
      <c r="U13" s="82" t="s">
        <v>219</v>
      </c>
      <c r="V13" s="86" t="s">
        <v>186</v>
      </c>
      <c r="X13" s="82" t="s">
        <v>216</v>
      </c>
      <c r="Y13" s="86" t="s">
        <v>186</v>
      </c>
      <c r="AA13" s="84" t="s">
        <v>188</v>
      </c>
    </row>
    <row r="14" spans="1:27" ht="18" customHeight="1" x14ac:dyDescent="0.2">
      <c r="B14" s="3"/>
      <c r="K14" s="2"/>
      <c r="L14" s="2"/>
      <c r="M14" s="2"/>
      <c r="V14" s="3"/>
    </row>
    <row r="15" spans="1:27" ht="18" customHeight="1" x14ac:dyDescent="0.2">
      <c r="A15" s="186" t="s">
        <v>5</v>
      </c>
      <c r="B15" s="101">
        <f>INDEX('2017 GNCP'!$B$8:$R$42,MATCH($A15,'2017 GNCP'!$B$8:$B$42,0),MATCH(B$12,'2017 GNCP'!$B$8:$R$8,0))</f>
        <v>374801.57500193903</v>
      </c>
      <c r="C15" s="14">
        <v>0</v>
      </c>
      <c r="D15" s="14">
        <v>0.39212000000000102</v>
      </c>
      <c r="E15" s="14">
        <v>0.60788000000000098</v>
      </c>
      <c r="F15" s="14">
        <v>1.0218365995754572</v>
      </c>
      <c r="G15" s="14">
        <v>1.0348230509591971</v>
      </c>
      <c r="H15" s="14">
        <v>1.0644101236847672</v>
      </c>
      <c r="I15" s="10">
        <f t="shared" ref="I15:I31" si="0">(B15*C15*F15)+(B15*D15*G15)+(B15*E15*H15)</f>
        <v>394594.26176004705</v>
      </c>
      <c r="J15" s="77">
        <f t="shared" ref="J15:J31" si="1">+I15/I$34</f>
        <v>1.6469936248781753E-2</v>
      </c>
      <c r="K15" s="2"/>
      <c r="L15" s="10">
        <f>INDEX('2017 SALES'!$B$8:$Q$42,MATCH($A15,'2017 SALES'!$B$8:$B$42,0),MATCH(L$12,'2017 SALES'!$B$8:$Q$8,0))</f>
        <v>2696313286</v>
      </c>
      <c r="M15" s="100">
        <f>L15/1000</f>
        <v>2696313.2859999998</v>
      </c>
      <c r="N15" s="14">
        <v>0</v>
      </c>
      <c r="O15" s="14">
        <v>0.39212000000000102</v>
      </c>
      <c r="P15" s="14">
        <v>0.60788000000000098</v>
      </c>
      <c r="Q15" s="14">
        <v>1.0170051802969728</v>
      </c>
      <c r="R15" s="14">
        <v>1.0266921244920639</v>
      </c>
      <c r="S15" s="14">
        <v>1.0486289832939273</v>
      </c>
      <c r="T15" s="10">
        <f t="shared" ref="T15:T31" si="2">(M15*N15*Q15)+(M15*O15*R15)+(M15*P15*S15)</f>
        <v>2804238.8935173294</v>
      </c>
      <c r="U15" s="10">
        <f>+T15/8760*1000</f>
        <v>320118.5951503801</v>
      </c>
      <c r="V15" s="77">
        <f t="shared" ref="V15:V31" si="3">+T15/T$34</f>
        <v>2.482140945190052E-2</v>
      </c>
      <c r="W15" s="76"/>
      <c r="X15" s="10">
        <f t="shared" ref="X15:X31" si="4">+I15-U15</f>
        <v>74475.666609666951</v>
      </c>
      <c r="Y15" s="77">
        <f t="shared" ref="Y15:Y31" si="5">+X15/X$34</f>
        <v>6.7328217842301348E-3</v>
      </c>
      <c r="Z15" s="76"/>
      <c r="AA15" s="77">
        <f>(V15*$G$47)+(Y15*(1-$G$47))</f>
        <v>1.6835539283312887E-2</v>
      </c>
    </row>
    <row r="16" spans="1:27" ht="18" customHeight="1" x14ac:dyDescent="0.2">
      <c r="A16" s="186" t="s">
        <v>6</v>
      </c>
      <c r="B16" s="101">
        <f>INDEX('2017 GNCP'!$B$8:$R$42,MATCH($A16,'2017 GNCP'!$B$8:$B$42,0),MATCH(B$12,'2017 GNCP'!$B$8:$R$8,0))</f>
        <v>14490.6676495674</v>
      </c>
      <c r="C16" s="14">
        <v>0</v>
      </c>
      <c r="D16" s="14">
        <v>1.4280000000000998E-2</v>
      </c>
      <c r="E16" s="14">
        <v>0.98572000000000104</v>
      </c>
      <c r="F16" s="14">
        <v>1.0218365995754572</v>
      </c>
      <c r="G16" s="14">
        <v>1.0348230509591971</v>
      </c>
      <c r="H16" s="14">
        <v>1.0644101236847672</v>
      </c>
      <c r="I16" s="10">
        <f t="shared" si="0"/>
        <v>15417.890988822139</v>
      </c>
      <c r="J16" s="77">
        <f t="shared" si="1"/>
        <v>6.4352603746423262E-4</v>
      </c>
      <c r="K16" s="2"/>
      <c r="L16" s="10">
        <f>INDEX('2017 SALES'!$B$8:$Q$42,MATCH($A16,'2017 SALES'!$B$8:$B$42,0),MATCH(L$12,'2017 SALES'!$B$8:$Q$8,0))</f>
        <v>101976406</v>
      </c>
      <c r="M16" s="100">
        <f t="shared" ref="M16:M31" si="6">L16/1000</f>
        <v>101976.406</v>
      </c>
      <c r="N16" s="14">
        <v>0</v>
      </c>
      <c r="O16" s="14">
        <v>1.4280000000000998E-2</v>
      </c>
      <c r="P16" s="14">
        <v>0.98572000000000104</v>
      </c>
      <c r="Q16" s="14">
        <v>1.0170051802969728</v>
      </c>
      <c r="R16" s="14">
        <v>1.0266921244920639</v>
      </c>
      <c r="S16" s="14">
        <v>1.0486289832939273</v>
      </c>
      <c r="T16" s="10">
        <f t="shared" si="2"/>
        <v>106903.46998370987</v>
      </c>
      <c r="U16" s="10">
        <f t="shared" ref="U16:U31" si="7">+T16/8760*1000</f>
        <v>12203.592463893821</v>
      </c>
      <c r="V16" s="77">
        <f t="shared" si="3"/>
        <v>9.4624420423980611E-4</v>
      </c>
      <c r="W16" s="76"/>
      <c r="X16" s="10">
        <f t="shared" si="4"/>
        <v>3214.2985249283174</v>
      </c>
      <c r="Y16" s="77">
        <f t="shared" si="5"/>
        <v>2.9058214736203675E-4</v>
      </c>
      <c r="Z16" s="76"/>
      <c r="AA16" s="77">
        <f t="shared" ref="AA16:AA31" si="8">(V16*$G$47)+(Y16*(1-$G$47))</f>
        <v>6.5677815211383987E-4</v>
      </c>
    </row>
    <row r="17" spans="1:27" ht="18" customHeight="1" x14ac:dyDescent="0.2">
      <c r="A17" s="186" t="s">
        <v>7</v>
      </c>
      <c r="B17" s="101">
        <f>INDEX('2017 GNCP'!$B$8:$R$42,MATCH($A17,'2017 GNCP'!$B$8:$B$42,0),MATCH(B$12,'2017 GNCP'!$B$8:$R$8,0))</f>
        <v>215964.772521326</v>
      </c>
      <c r="C17" s="14">
        <v>1.0000000000000011</v>
      </c>
      <c r="D17" s="14">
        <v>0</v>
      </c>
      <c r="E17" s="14">
        <v>0</v>
      </c>
      <c r="F17" s="14">
        <v>1.0218365995754572</v>
      </c>
      <c r="G17" s="14">
        <v>1.0348230509591971</v>
      </c>
      <c r="H17" s="14">
        <v>1.0644101236847672</v>
      </c>
      <c r="I17" s="10">
        <f t="shared" si="0"/>
        <v>220680.70878127916</v>
      </c>
      <c r="J17" s="77">
        <f t="shared" si="1"/>
        <v>9.2109732887444753E-3</v>
      </c>
      <c r="K17" s="2"/>
      <c r="L17" s="10">
        <f>INDEX('2017 SALES'!$B$8:$Q$42,MATCH($A17,'2017 SALES'!$B$8:$B$42,0),MATCH(L$12,'2017 SALES'!$B$8:$Q$8,0))</f>
        <v>1508921571</v>
      </c>
      <c r="M17" s="100">
        <f t="shared" si="6"/>
        <v>1508921.571</v>
      </c>
      <c r="N17" s="14">
        <v>1.0000000000000011</v>
      </c>
      <c r="O17" s="14">
        <v>0</v>
      </c>
      <c r="P17" s="14">
        <v>0</v>
      </c>
      <c r="Q17" s="14">
        <v>1.0170051802969728</v>
      </c>
      <c r="R17" s="14">
        <v>1.0266921244920639</v>
      </c>
      <c r="S17" s="14">
        <v>1.0486289832939273</v>
      </c>
      <c r="T17" s="10">
        <f t="shared" si="2"/>
        <v>1534581.0543688482</v>
      </c>
      <c r="U17" s="10">
        <f t="shared" si="7"/>
        <v>175180.48565854432</v>
      </c>
      <c r="V17" s="77">
        <f t="shared" si="3"/>
        <v>1.3583173949863414E-2</v>
      </c>
      <c r="W17" s="76"/>
      <c r="X17" s="10">
        <f t="shared" si="4"/>
        <v>45500.223122734838</v>
      </c>
      <c r="Y17" s="77">
        <f t="shared" si="5"/>
        <v>4.1133555075600651E-3</v>
      </c>
      <c r="Z17" s="76"/>
      <c r="AA17" s="77">
        <f t="shared" si="8"/>
        <v>9.4023754270746544E-3</v>
      </c>
    </row>
    <row r="18" spans="1:27" ht="18" customHeight="1" x14ac:dyDescent="0.2">
      <c r="A18" s="186" t="s">
        <v>171</v>
      </c>
      <c r="B18" s="101">
        <f>INDEX('2017 GNCP'!$B$8:$R$42,MATCH($A18,'2017 GNCP'!$B$8:$B$42,0),MATCH(B$12,'2017 GNCP'!$B$8:$R$8,0))</f>
        <v>1307752.2985586701</v>
      </c>
      <c r="C18" s="14">
        <v>0</v>
      </c>
      <c r="D18" s="14">
        <v>0</v>
      </c>
      <c r="E18" s="14">
        <v>1.0000000000000011</v>
      </c>
      <c r="F18" s="14">
        <v>1.0218365995754572</v>
      </c>
      <c r="G18" s="14">
        <v>1.0348230509591971</v>
      </c>
      <c r="H18" s="14">
        <v>1.0644101236847672</v>
      </c>
      <c r="I18" s="10">
        <f t="shared" si="0"/>
        <v>1391984.7858578742</v>
      </c>
      <c r="J18" s="77">
        <f t="shared" si="1"/>
        <v>5.8099934297307539E-2</v>
      </c>
      <c r="K18" s="2"/>
      <c r="L18" s="10">
        <f>INDEX('2017 SALES'!$B$8:$Q$42,MATCH($A18,'2017 SALES'!$B$8:$B$42,0),MATCH(L$12,'2017 SALES'!$B$8:$Q$8,0))</f>
        <v>5996275128</v>
      </c>
      <c r="M18" s="100">
        <f t="shared" si="6"/>
        <v>5996275.1279999996</v>
      </c>
      <c r="N18" s="14">
        <v>0</v>
      </c>
      <c r="O18" s="14">
        <v>0</v>
      </c>
      <c r="P18" s="14">
        <v>1.0000000000000011</v>
      </c>
      <c r="Q18" s="14">
        <v>1.0170051802969728</v>
      </c>
      <c r="R18" s="14">
        <v>1.0266921244920639</v>
      </c>
      <c r="S18" s="14">
        <v>1.0486289832939273</v>
      </c>
      <c r="T18" s="10">
        <f t="shared" si="2"/>
        <v>6287867.8910253104</v>
      </c>
      <c r="U18" s="10">
        <f t="shared" si="7"/>
        <v>717793.13824489852</v>
      </c>
      <c r="V18" s="77">
        <f t="shared" si="3"/>
        <v>5.565636503487606E-2</v>
      </c>
      <c r="W18" s="76"/>
      <c r="X18" s="10">
        <f t="shared" si="4"/>
        <v>674191.64761297568</v>
      </c>
      <c r="Y18" s="77">
        <f t="shared" si="5"/>
        <v>6.0948930280611394E-2</v>
      </c>
      <c r="Z18" s="76"/>
      <c r="AA18" s="77">
        <f t="shared" si="8"/>
        <v>5.7992961992457376E-2</v>
      </c>
    </row>
    <row r="19" spans="1:27" ht="18" customHeight="1" x14ac:dyDescent="0.2">
      <c r="A19" s="186" t="s">
        <v>12</v>
      </c>
      <c r="B19" s="101">
        <f>INDEX('2017 GNCP'!$B$8:$R$42,MATCH($A19,'2017 GNCP'!$B$8:$B$42,0),MATCH(B$12,'2017 GNCP'!$B$8:$R$8,0))</f>
        <v>8869.0376686062991</v>
      </c>
      <c r="C19" s="14">
        <v>0</v>
      </c>
      <c r="D19" s="14">
        <v>0</v>
      </c>
      <c r="E19" s="14">
        <v>1.0000000000000011</v>
      </c>
      <c r="F19" s="14">
        <v>1.0218365995754572</v>
      </c>
      <c r="G19" s="14">
        <v>1.0348230509591971</v>
      </c>
      <c r="H19" s="14">
        <v>1.0644101236847672</v>
      </c>
      <c r="I19" s="10">
        <f t="shared" si="0"/>
        <v>9440.2934818061003</v>
      </c>
      <c r="J19" s="77">
        <f t="shared" si="1"/>
        <v>3.9402760476452261E-4</v>
      </c>
      <c r="K19" s="2"/>
      <c r="L19" s="10">
        <f>INDEX('2017 SALES'!$B$8:$Q$42,MATCH($A19,'2017 SALES'!$B$8:$B$42,0),MATCH(L$12,'2017 SALES'!$B$8:$Q$8,0))</f>
        <v>70241818</v>
      </c>
      <c r="M19" s="100">
        <f t="shared" si="6"/>
        <v>70241.817999999999</v>
      </c>
      <c r="N19" s="14">
        <v>0</v>
      </c>
      <c r="O19" s="14">
        <v>0</v>
      </c>
      <c r="P19" s="14">
        <v>1.0000000000000011</v>
      </c>
      <c r="Q19" s="14">
        <v>1.0170051802969728</v>
      </c>
      <c r="R19" s="14">
        <v>1.0266921244920639</v>
      </c>
      <c r="S19" s="14">
        <v>1.0486289832939273</v>
      </c>
      <c r="T19" s="10">
        <f t="shared" si="2"/>
        <v>73657.606194057153</v>
      </c>
      <c r="U19" s="10">
        <f t="shared" si="7"/>
        <v>8408.4025335681672</v>
      </c>
      <c r="V19" s="77">
        <f t="shared" si="3"/>
        <v>6.519721293417822E-4</v>
      </c>
      <c r="W19" s="76"/>
      <c r="X19" s="10">
        <f t="shared" si="4"/>
        <v>1031.8909482379331</v>
      </c>
      <c r="Y19" s="77">
        <f t="shared" si="5"/>
        <v>9.328601100892267E-5</v>
      </c>
      <c r="Z19" s="76"/>
      <c r="AA19" s="77">
        <f t="shared" si="8"/>
        <v>4.0531966050516972E-4</v>
      </c>
    </row>
    <row r="20" spans="1:27" ht="18" customHeight="1" x14ac:dyDescent="0.2">
      <c r="A20" s="186" t="s">
        <v>170</v>
      </c>
      <c r="B20" s="101">
        <f>INDEX('2017 GNCP'!$B$8:$R$42,MATCH($A20,'2017 GNCP'!$B$8:$B$42,0),MATCH(B$12,'2017 GNCP'!$B$8:$R$8,0))</f>
        <v>4709694.0085823201</v>
      </c>
      <c r="C20" s="14">
        <v>0</v>
      </c>
      <c r="D20" s="14">
        <v>2.8800000000010002E-3</v>
      </c>
      <c r="E20" s="14">
        <v>0.99712000000000101</v>
      </c>
      <c r="F20" s="14">
        <v>1.0218365995754572</v>
      </c>
      <c r="G20" s="14">
        <v>1.0348230509591971</v>
      </c>
      <c r="H20" s="14">
        <v>1.0644101236847672</v>
      </c>
      <c r="I20" s="10">
        <f t="shared" si="0"/>
        <v>5012644.6655421806</v>
      </c>
      <c r="J20" s="77">
        <f t="shared" si="1"/>
        <v>0.20922234832061284</v>
      </c>
      <c r="K20" s="2"/>
      <c r="L20" s="10">
        <f>INDEX('2017 SALES'!$B$8:$Q$42,MATCH($A20,'2017 SALES'!$B$8:$B$42,0),MATCH(L$12,'2017 SALES'!$B$8:$Q$8,0))</f>
        <v>25944232965</v>
      </c>
      <c r="M20" s="100">
        <f t="shared" si="6"/>
        <v>25944232.965</v>
      </c>
      <c r="N20" s="14">
        <v>0</v>
      </c>
      <c r="O20" s="14">
        <v>2.8800000000010002E-3</v>
      </c>
      <c r="P20" s="14">
        <v>0.99712000000000101</v>
      </c>
      <c r="Q20" s="14">
        <v>1.0170051802969728</v>
      </c>
      <c r="R20" s="14">
        <v>1.0266921244920639</v>
      </c>
      <c r="S20" s="14">
        <v>1.0486289832939273</v>
      </c>
      <c r="T20" s="10">
        <f t="shared" si="2"/>
        <v>27204235.527700003</v>
      </c>
      <c r="U20" s="10">
        <f t="shared" si="7"/>
        <v>3105506.3387785391</v>
      </c>
      <c r="V20" s="77">
        <f t="shared" si="3"/>
        <v>0.24079527262102282</v>
      </c>
      <c r="W20" s="76"/>
      <c r="X20" s="10">
        <f t="shared" si="4"/>
        <v>1907138.3267636416</v>
      </c>
      <c r="Y20" s="77">
        <f t="shared" si="5"/>
        <v>0.17241097739040265</v>
      </c>
      <c r="Z20" s="76"/>
      <c r="AA20" s="77">
        <f t="shared" si="8"/>
        <v>0.21060451846622752</v>
      </c>
    </row>
    <row r="21" spans="1:27" ht="18" customHeight="1" x14ac:dyDescent="0.2">
      <c r="A21" s="186" t="s">
        <v>172</v>
      </c>
      <c r="B21" s="101">
        <f>INDEX('2017 GNCP'!$B$8:$R$42,MATCH($A21,'2017 GNCP'!$B$8:$B$42,0),MATCH(B$12,'2017 GNCP'!$B$8:$R$8,0))</f>
        <v>1937401.07390875</v>
      </c>
      <c r="C21" s="14">
        <v>0</v>
      </c>
      <c r="D21" s="14">
        <v>3.9350000000001002E-2</v>
      </c>
      <c r="E21" s="14">
        <v>0.960650000000001</v>
      </c>
      <c r="F21" s="14">
        <v>1.0218365995754572</v>
      </c>
      <c r="G21" s="14">
        <v>1.0348230509591971</v>
      </c>
      <c r="H21" s="14">
        <v>1.0644101236847672</v>
      </c>
      <c r="I21" s="10">
        <f t="shared" si="0"/>
        <v>2059933.6949645311</v>
      </c>
      <c r="J21" s="77">
        <f t="shared" si="1"/>
        <v>8.5979396865670271E-2</v>
      </c>
      <c r="K21" s="2"/>
      <c r="L21" s="10">
        <f>INDEX('2017 SALES'!$B$8:$Q$42,MATCH($A21,'2017 SALES'!$B$8:$B$42,0),MATCH(L$12,'2017 SALES'!$B$8:$Q$8,0))</f>
        <v>10554686882</v>
      </c>
      <c r="M21" s="100">
        <f t="shared" si="6"/>
        <v>10554686.881999999</v>
      </c>
      <c r="N21" s="14">
        <v>0</v>
      </c>
      <c r="O21" s="14">
        <v>3.9350000000001002E-2</v>
      </c>
      <c r="P21" s="14">
        <v>0.960650000000001</v>
      </c>
      <c r="Q21" s="14">
        <v>1.0170051802969728</v>
      </c>
      <c r="R21" s="14">
        <v>1.0266921244920639</v>
      </c>
      <c r="S21" s="14">
        <v>1.0486289832939273</v>
      </c>
      <c r="T21" s="10">
        <f t="shared" si="2"/>
        <v>11058839.605863588</v>
      </c>
      <c r="U21" s="10">
        <f t="shared" si="7"/>
        <v>1262424.6125415054</v>
      </c>
      <c r="V21" s="77">
        <f t="shared" si="3"/>
        <v>9.7886091857080207E-2</v>
      </c>
      <c r="W21" s="76"/>
      <c r="X21" s="10">
        <f t="shared" si="4"/>
        <v>797509.08242302574</v>
      </c>
      <c r="Y21" s="77">
        <f t="shared" si="5"/>
        <v>7.2097193186615574E-2</v>
      </c>
      <c r="Z21" s="76"/>
      <c r="AA21" s="77">
        <f t="shared" si="8"/>
        <v>8.6500637096492111E-2</v>
      </c>
    </row>
    <row r="22" spans="1:27" ht="18" customHeight="1" x14ac:dyDescent="0.2">
      <c r="A22" s="186" t="s">
        <v>174</v>
      </c>
      <c r="B22" s="101">
        <f>INDEX('2017 GNCP'!$B$8:$R$42,MATCH($A22,'2017 GNCP'!$B$8:$B$42,0),MATCH(B$12,'2017 GNCP'!$B$8:$R$8,0))</f>
        <v>370880.56916072202</v>
      </c>
      <c r="C22" s="14">
        <v>0</v>
      </c>
      <c r="D22" s="14">
        <v>0.325210000000001</v>
      </c>
      <c r="E22" s="14">
        <v>0.674790000000001</v>
      </c>
      <c r="F22" s="14">
        <v>1.0218365995754572</v>
      </c>
      <c r="G22" s="14">
        <v>1.0348230509591971</v>
      </c>
      <c r="H22" s="14">
        <v>1.0644101236847672</v>
      </c>
      <c r="I22" s="10">
        <f t="shared" si="0"/>
        <v>391200.41523487936</v>
      </c>
      <c r="J22" s="77">
        <f t="shared" si="1"/>
        <v>1.6328280778024673E-2</v>
      </c>
      <c r="K22" s="2"/>
      <c r="L22" s="10">
        <f>INDEX('2017 SALES'!$B$8:$Q$42,MATCH($A22,'2017 SALES'!$B$8:$B$42,0),MATCH(L$12,'2017 SALES'!$B$8:$Q$8,0))</f>
        <v>2526124898</v>
      </c>
      <c r="M22" s="100">
        <f t="shared" si="6"/>
        <v>2526124.898</v>
      </c>
      <c r="N22" s="14">
        <v>0</v>
      </c>
      <c r="O22" s="14">
        <v>0.325210000000001</v>
      </c>
      <c r="P22" s="14">
        <v>0.674790000000001</v>
      </c>
      <c r="Q22" s="14">
        <v>1.0170051802969728</v>
      </c>
      <c r="R22" s="14">
        <v>1.0266921244920639</v>
      </c>
      <c r="S22" s="14">
        <v>1.0486289832939273</v>
      </c>
      <c r="T22" s="10">
        <f t="shared" si="2"/>
        <v>2630946.1915706568</v>
      </c>
      <c r="U22" s="10">
        <f t="shared" si="7"/>
        <v>300336.32323865948</v>
      </c>
      <c r="V22" s="77">
        <f t="shared" si="3"/>
        <v>2.3287528326441428E-2</v>
      </c>
      <c r="W22" s="76"/>
      <c r="X22" s="10">
        <f t="shared" si="4"/>
        <v>90864.091996219882</v>
      </c>
      <c r="Y22" s="77">
        <f t="shared" si="5"/>
        <v>8.2143841854116703E-3</v>
      </c>
      <c r="Z22" s="76"/>
      <c r="AA22" s="77">
        <f t="shared" si="8"/>
        <v>1.6632936251361325E-2</v>
      </c>
    </row>
    <row r="23" spans="1:27" ht="18" customHeight="1" x14ac:dyDescent="0.2">
      <c r="A23" s="186" t="s">
        <v>175</v>
      </c>
      <c r="B23" s="101">
        <f>INDEX('2017 GNCP'!$B$8:$R$42,MATCH($A23,'2017 GNCP'!$B$8:$B$42,0),MATCH(B$12,'2017 GNCP'!$B$8:$R$8,0))</f>
        <v>36184.040690327398</v>
      </c>
      <c r="C23" s="14">
        <v>1.0000000000000011</v>
      </c>
      <c r="D23" s="14">
        <v>0</v>
      </c>
      <c r="E23" s="14">
        <v>0</v>
      </c>
      <c r="F23" s="14">
        <v>1.0218365995754572</v>
      </c>
      <c r="G23" s="14">
        <v>1.0348230509591971</v>
      </c>
      <c r="H23" s="14">
        <v>1.0644101236847672</v>
      </c>
      <c r="I23" s="10">
        <f t="shared" si="0"/>
        <v>36974.177097904176</v>
      </c>
      <c r="J23" s="77">
        <f t="shared" si="1"/>
        <v>1.5432620254978728E-3</v>
      </c>
      <c r="K23" s="2"/>
      <c r="L23" s="10">
        <f>INDEX('2017 SALES'!$B$8:$Q$42,MATCH($A23,'2017 SALES'!$B$8:$B$42,0),MATCH(L$12,'2017 SALES'!$B$8:$Q$8,0))</f>
        <v>173041714</v>
      </c>
      <c r="M23" s="100">
        <f t="shared" si="6"/>
        <v>173041.71400000001</v>
      </c>
      <c r="N23" s="14">
        <v>1.0000000000000011</v>
      </c>
      <c r="O23" s="14">
        <v>0</v>
      </c>
      <c r="P23" s="14">
        <v>0</v>
      </c>
      <c r="Q23" s="14">
        <v>1.0170051802969728</v>
      </c>
      <c r="R23" s="14">
        <v>1.0266921244920639</v>
      </c>
      <c r="S23" s="14">
        <v>1.0486289832939273</v>
      </c>
      <c r="T23" s="10">
        <f t="shared" si="2"/>
        <v>175984.31954546741</v>
      </c>
      <c r="U23" s="10">
        <f t="shared" si="7"/>
        <v>20089.534194688062</v>
      </c>
      <c r="V23" s="77">
        <f t="shared" si="3"/>
        <v>1.5577056800154363E-3</v>
      </c>
      <c r="W23" s="76"/>
      <c r="X23" s="10">
        <f t="shared" si="4"/>
        <v>16884.642903216114</v>
      </c>
      <c r="Y23" s="77">
        <f t="shared" si="5"/>
        <v>1.5264219406525507E-3</v>
      </c>
      <c r="Z23" s="76"/>
      <c r="AA23" s="77">
        <f t="shared" si="8"/>
        <v>1.543894326385741E-3</v>
      </c>
    </row>
    <row r="24" spans="1:27" ht="18" customHeight="1" x14ac:dyDescent="0.2">
      <c r="A24" s="186" t="s">
        <v>20</v>
      </c>
      <c r="B24" s="101">
        <f>INDEX('2017 GNCP'!$B$8:$R$42,MATCH($A24,'2017 GNCP'!$B$8:$B$42,0),MATCH(B$12,'2017 GNCP'!$B$8:$R$8,0))</f>
        <v>17139.2000351676</v>
      </c>
      <c r="C24" s="14">
        <v>0</v>
      </c>
      <c r="D24" s="14">
        <v>1.0000000000000011</v>
      </c>
      <c r="E24" s="14">
        <v>0</v>
      </c>
      <c r="F24" s="14">
        <v>1.0218365995754572</v>
      </c>
      <c r="G24" s="14">
        <v>1.0348230509591971</v>
      </c>
      <c r="H24" s="14">
        <v>1.0644101236847672</v>
      </c>
      <c r="I24" s="10">
        <f t="shared" si="0"/>
        <v>17736.039271392132</v>
      </c>
      <c r="J24" s="77">
        <f t="shared" si="1"/>
        <v>7.4028303098677868E-4</v>
      </c>
      <c r="K24" s="2"/>
      <c r="L24" s="10">
        <f>INDEX('2017 SALES'!$B$8:$Q$42,MATCH($A24,'2017 SALES'!$B$8:$B$42,0),MATCH(L$12,'2017 SALES'!$B$8:$Q$8,0))</f>
        <v>91208296</v>
      </c>
      <c r="M24" s="100">
        <f t="shared" si="6"/>
        <v>91208.296000000002</v>
      </c>
      <c r="N24" s="14">
        <v>0</v>
      </c>
      <c r="O24" s="14">
        <v>1.0000000000000011</v>
      </c>
      <c r="P24" s="14">
        <v>0</v>
      </c>
      <c r="Q24" s="14">
        <v>1.0170051802969728</v>
      </c>
      <c r="R24" s="14">
        <v>1.0266921244920639</v>
      </c>
      <c r="S24" s="14">
        <v>1.0486289832939273</v>
      </c>
      <c r="T24" s="10">
        <f t="shared" si="2"/>
        <v>93642.839191541119</v>
      </c>
      <c r="U24" s="10">
        <f t="shared" si="7"/>
        <v>10689.821825518393</v>
      </c>
      <c r="V24" s="77">
        <f t="shared" si="3"/>
        <v>8.2886920197312896E-4</v>
      </c>
      <c r="W24" s="76"/>
      <c r="X24" s="10">
        <f t="shared" si="4"/>
        <v>7046.2174458737391</v>
      </c>
      <c r="Y24" s="77">
        <f t="shared" si="5"/>
        <v>6.3699901559314534E-4</v>
      </c>
      <c r="Z24" s="76"/>
      <c r="AA24" s="77">
        <f t="shared" si="8"/>
        <v>7.4416107407479439E-4</v>
      </c>
    </row>
    <row r="25" spans="1:27" ht="18" customHeight="1" x14ac:dyDescent="0.2">
      <c r="A25" s="186" t="s">
        <v>21</v>
      </c>
      <c r="B25" s="101">
        <f>INDEX('2017 GNCP'!$B$8:$R$42,MATCH($A25,'2017 GNCP'!$B$8:$B$42,0),MATCH(B$12,'2017 GNCP'!$B$8:$R$8,0))</f>
        <v>26393.5073307887</v>
      </c>
      <c r="C25" s="14">
        <v>0</v>
      </c>
      <c r="D25" s="14">
        <v>0</v>
      </c>
      <c r="E25" s="14">
        <v>1.0000000000000011</v>
      </c>
      <c r="F25" s="14">
        <v>1.0218365995754572</v>
      </c>
      <c r="G25" s="14">
        <v>1.0348230509591971</v>
      </c>
      <c r="H25" s="14">
        <v>1.0644101236847672</v>
      </c>
      <c r="I25" s="10">
        <f t="shared" si="0"/>
        <v>28093.51640243964</v>
      </c>
      <c r="J25" s="77">
        <f t="shared" si="1"/>
        <v>1.172592885888575E-3</v>
      </c>
      <c r="K25" s="2"/>
      <c r="L25" s="10">
        <f>INDEX('2017 SALES'!$B$8:$Q$42,MATCH($A25,'2017 SALES'!$B$8:$B$42,0),MATCH(L$12,'2017 SALES'!$B$8:$Q$8,0))</f>
        <v>97899984</v>
      </c>
      <c r="M25" s="100">
        <f t="shared" si="6"/>
        <v>97899.983999999997</v>
      </c>
      <c r="N25" s="14">
        <v>0</v>
      </c>
      <c r="O25" s="14">
        <v>0</v>
      </c>
      <c r="P25" s="14">
        <v>1.0000000000000011</v>
      </c>
      <c r="Q25" s="14">
        <v>1.0170051802969728</v>
      </c>
      <c r="R25" s="14">
        <v>1.0266921244920639</v>
      </c>
      <c r="S25" s="14">
        <v>1.0486289832939273</v>
      </c>
      <c r="T25" s="10">
        <f t="shared" si="2"/>
        <v>102660.76068641186</v>
      </c>
      <c r="U25" s="10">
        <f t="shared" si="7"/>
        <v>11719.264918540166</v>
      </c>
      <c r="V25" s="77">
        <f t="shared" si="3"/>
        <v>9.0869033359880307E-4</v>
      </c>
      <c r="W25" s="76"/>
      <c r="X25" s="10">
        <f t="shared" si="4"/>
        <v>16374.251483899474</v>
      </c>
      <c r="Y25" s="77">
        <f t="shared" si="5"/>
        <v>1.4802810382223712E-3</v>
      </c>
      <c r="Z25" s="76"/>
      <c r="AA25" s="77">
        <f t="shared" si="8"/>
        <v>1.1610400051463338E-3</v>
      </c>
    </row>
    <row r="26" spans="1:27" ht="18" customHeight="1" x14ac:dyDescent="0.2">
      <c r="A26" s="186" t="s">
        <v>22</v>
      </c>
      <c r="B26" s="101">
        <f>INDEX('2017 GNCP'!$B$8:$R$42,MATCH($A26,'2017 GNCP'!$B$8:$B$42,0),MATCH(B$12,'2017 GNCP'!$B$8:$R$8,0))</f>
        <v>11767.8131359791</v>
      </c>
      <c r="C26" s="14">
        <v>0</v>
      </c>
      <c r="D26" s="14">
        <v>1.0000000000000011</v>
      </c>
      <c r="E26" s="14">
        <v>0</v>
      </c>
      <c r="F26" s="14">
        <v>1.0218365995754572</v>
      </c>
      <c r="G26" s="14">
        <v>1.0348230509591971</v>
      </c>
      <c r="H26" s="14">
        <v>1.0644101236847672</v>
      </c>
      <c r="I26" s="10">
        <f t="shared" si="0"/>
        <v>12177.604292491624</v>
      </c>
      <c r="J26" s="77">
        <f t="shared" si="1"/>
        <v>5.0827998731058923E-4</v>
      </c>
      <c r="K26" s="2"/>
      <c r="L26" s="10">
        <f>INDEX('2017 SALES'!$B$8:$Q$42,MATCH($A26,'2017 SALES'!$B$8:$B$42,0),MATCH(L$12,'2017 SALES'!$B$8:$Q$8,0))</f>
        <v>10793313</v>
      </c>
      <c r="M26" s="100">
        <f t="shared" si="6"/>
        <v>10793.313</v>
      </c>
      <c r="N26" s="14">
        <v>0</v>
      </c>
      <c r="O26" s="14">
        <v>0.25134000000000101</v>
      </c>
      <c r="P26" s="14">
        <v>0.74866000000000099</v>
      </c>
      <c r="Q26" s="14">
        <v>1.0170051802969728</v>
      </c>
      <c r="R26" s="14">
        <v>1.0266921244920639</v>
      </c>
      <c r="S26" s="14">
        <v>1.0486289832939273</v>
      </c>
      <c r="T26" s="10">
        <f t="shared" si="2"/>
        <v>11258.670718088219</v>
      </c>
      <c r="U26" s="10">
        <f t="shared" si="7"/>
        <v>1285.236383343404</v>
      </c>
      <c r="V26" s="77">
        <f t="shared" si="3"/>
        <v>9.9654874776831679E-5</v>
      </c>
      <c r="W26" s="76"/>
      <c r="X26" s="10">
        <f t="shared" si="4"/>
        <v>10892.367909148219</v>
      </c>
      <c r="Y26" s="77">
        <f t="shared" si="5"/>
        <v>9.8470245758153848E-4</v>
      </c>
      <c r="Z26" s="76"/>
      <c r="AA26" s="77">
        <f t="shared" si="8"/>
        <v>4.9039157678773928E-4</v>
      </c>
    </row>
    <row r="27" spans="1:27" ht="18" customHeight="1" x14ac:dyDescent="0.2">
      <c r="A27" s="186" t="s">
        <v>169</v>
      </c>
      <c r="B27" s="101">
        <f>INDEX('2017 GNCP'!$B$8:$R$42,MATCH($A27,'2017 GNCP'!$B$8:$B$42,0),MATCH(B$12,'2017 GNCP'!$B$8:$R$8,0))</f>
        <v>13276515.0116025</v>
      </c>
      <c r="C27" s="14">
        <v>0</v>
      </c>
      <c r="D27" s="14">
        <v>0</v>
      </c>
      <c r="E27" s="14">
        <v>1.0000000000000011</v>
      </c>
      <c r="F27" s="14">
        <v>1.0218365995754572</v>
      </c>
      <c r="G27" s="14">
        <v>1.0348230509591971</v>
      </c>
      <c r="H27" s="14">
        <v>1.0644101236847672</v>
      </c>
      <c r="I27" s="10">
        <f t="shared" si="0"/>
        <v>14131656.985602502</v>
      </c>
      <c r="J27" s="77">
        <f t="shared" si="1"/>
        <v>0.58984002606722741</v>
      </c>
      <c r="K27" s="2"/>
      <c r="L27" s="10">
        <f>INDEX('2017 SALES'!$B$8:$Q$42,MATCH($A27,'2017 SALES'!$B$8:$B$42,0),MATCH(L$12,'2017 SALES'!$B$8:$Q$8,0))</f>
        <v>57375392961</v>
      </c>
      <c r="M27" s="100">
        <f t="shared" si="6"/>
        <v>57375392.961000003</v>
      </c>
      <c r="N27" s="14">
        <v>0</v>
      </c>
      <c r="O27" s="14">
        <v>0</v>
      </c>
      <c r="P27" s="14">
        <v>1.0000000000000011</v>
      </c>
      <c r="Q27" s="14">
        <v>1.0170051802969728</v>
      </c>
      <c r="R27" s="14">
        <v>1.0266921244920639</v>
      </c>
      <c r="S27" s="14">
        <v>1.0486289832939273</v>
      </c>
      <c r="T27" s="10">
        <f t="shared" si="2"/>
        <v>60165499.986783057</v>
      </c>
      <c r="U27" s="10">
        <f t="shared" si="7"/>
        <v>6868207.7610482937</v>
      </c>
      <c r="V27" s="77">
        <f t="shared" si="3"/>
        <v>0.53254824811915713</v>
      </c>
      <c r="W27" s="76"/>
      <c r="X27" s="10">
        <f t="shared" si="4"/>
        <v>7263449.2245542081</v>
      </c>
      <c r="Y27" s="77">
        <f t="shared" si="5"/>
        <v>0.65663741452675184</v>
      </c>
      <c r="Z27" s="76"/>
      <c r="AA27" s="77">
        <f t="shared" si="8"/>
        <v>0.58733195984201614</v>
      </c>
    </row>
    <row r="28" spans="1:27" ht="18" customHeight="1" x14ac:dyDescent="0.2">
      <c r="A28" s="186" t="s">
        <v>27</v>
      </c>
      <c r="B28" s="101">
        <f>INDEX('2017 GNCP'!$B$8:$R$42,MATCH($A28,'2017 GNCP'!$B$8:$B$42,0),MATCH(B$12,'2017 GNCP'!$B$8:$R$8,0))</f>
        <v>154290.90764640001</v>
      </c>
      <c r="C28" s="14">
        <v>0</v>
      </c>
      <c r="D28" s="14">
        <v>0</v>
      </c>
      <c r="E28" s="14">
        <v>1.0000000000000011</v>
      </c>
      <c r="F28" s="14">
        <v>1.0218365995754572</v>
      </c>
      <c r="G28" s="14">
        <v>1.0348230509591971</v>
      </c>
      <c r="H28" s="14">
        <v>1.0644101236847672</v>
      </c>
      <c r="I28" s="10">
        <f t="shared" si="0"/>
        <v>164228.80409133981</v>
      </c>
      <c r="J28" s="77">
        <f t="shared" si="1"/>
        <v>6.8547320519395886E-3</v>
      </c>
      <c r="K28" s="2"/>
      <c r="L28" s="10">
        <f>INDEX('2017 SALES'!$B$8:$Q$42,MATCH($A28,'2017 SALES'!$B$8:$B$42,0),MATCH(L$12,'2017 SALES'!$B$8:$Q$8,0))</f>
        <v>561284645</v>
      </c>
      <c r="M28" s="100">
        <f t="shared" si="6"/>
        <v>561284.64500000002</v>
      </c>
      <c r="N28" s="14">
        <v>0</v>
      </c>
      <c r="O28" s="14">
        <v>0</v>
      </c>
      <c r="P28" s="14">
        <v>1.0000000000000011</v>
      </c>
      <c r="Q28" s="14">
        <v>1.0170051802969728</v>
      </c>
      <c r="R28" s="14">
        <v>1.0266921244920639</v>
      </c>
      <c r="S28" s="14">
        <v>1.0486289832939273</v>
      </c>
      <c r="T28" s="10">
        <f t="shared" si="2"/>
        <v>588579.34662484354</v>
      </c>
      <c r="U28" s="10">
        <f t="shared" si="7"/>
        <v>67189.423130689902</v>
      </c>
      <c r="V28" s="77">
        <f t="shared" si="3"/>
        <v>5.2097447871792884E-3</v>
      </c>
      <c r="W28" s="76"/>
      <c r="X28" s="10">
        <f t="shared" si="4"/>
        <v>97039.380960649913</v>
      </c>
      <c r="Y28" s="77">
        <f t="shared" si="5"/>
        <v>8.7726486757658088E-3</v>
      </c>
      <c r="Z28" s="76"/>
      <c r="AA28" s="77">
        <f t="shared" si="8"/>
        <v>6.7827193278208239E-3</v>
      </c>
    </row>
    <row r="29" spans="1:27" ht="18" customHeight="1" x14ac:dyDescent="0.2">
      <c r="A29" s="186" t="s">
        <v>28</v>
      </c>
      <c r="B29" s="101">
        <f>INDEX('2017 GNCP'!$B$8:$R$42,MATCH($A29,'2017 GNCP'!$B$8:$B$42,0),MATCH(B$12,'2017 GNCP'!$B$8:$R$8,0))</f>
        <v>4060.9593295485502</v>
      </c>
      <c r="C29" s="14">
        <v>0</v>
      </c>
      <c r="D29" s="14">
        <v>0</v>
      </c>
      <c r="E29" s="14">
        <v>1.0000000000000011</v>
      </c>
      <c r="F29" s="14">
        <v>1.0218365995754572</v>
      </c>
      <c r="G29" s="14">
        <v>1.0348230509591971</v>
      </c>
      <c r="H29" s="14">
        <v>1.0644101236847672</v>
      </c>
      <c r="I29" s="10">
        <f t="shared" si="0"/>
        <v>4322.5262222435867</v>
      </c>
      <c r="J29" s="77">
        <f t="shared" si="1"/>
        <v>1.8041755345477126E-4</v>
      </c>
      <c r="K29" s="2"/>
      <c r="L29" s="10">
        <f>INDEX('2017 SALES'!$B$8:$Q$42,MATCH($A29,'2017 SALES'!$B$8:$B$42,0),MATCH(L$12,'2017 SALES'!$B$8:$Q$8,0))</f>
        <v>32762626</v>
      </c>
      <c r="M29" s="100">
        <f t="shared" si="6"/>
        <v>32762.626</v>
      </c>
      <c r="N29" s="14">
        <v>0</v>
      </c>
      <c r="O29" s="14">
        <v>0</v>
      </c>
      <c r="P29" s="14">
        <v>1.0000000000000011</v>
      </c>
      <c r="Q29" s="14">
        <v>1.0170051802969728</v>
      </c>
      <c r="R29" s="14">
        <v>1.0266921244920639</v>
      </c>
      <c r="S29" s="14">
        <v>1.0486289832939273</v>
      </c>
      <c r="T29" s="10">
        <f t="shared" si="2"/>
        <v>34355.839192419226</v>
      </c>
      <c r="U29" s="10">
        <f t="shared" si="7"/>
        <v>3921.8994511894093</v>
      </c>
      <c r="V29" s="77">
        <f t="shared" si="3"/>
        <v>3.0409689903026767E-4</v>
      </c>
      <c r="W29" s="76"/>
      <c r="X29" s="10">
        <f t="shared" si="4"/>
        <v>400.62677105417742</v>
      </c>
      <c r="Y29" s="77">
        <f t="shared" si="5"/>
        <v>3.6217851739902765E-5</v>
      </c>
      <c r="Z29" s="76"/>
      <c r="AA29" s="77">
        <f t="shared" si="8"/>
        <v>1.8583187293487696E-4</v>
      </c>
    </row>
    <row r="30" spans="1:27" ht="18" customHeight="1" x14ac:dyDescent="0.2">
      <c r="A30" s="186" t="s">
        <v>29</v>
      </c>
      <c r="B30" s="101">
        <f>INDEX('2017 GNCP'!$B$8:$R$42,MATCH($A30,'2017 GNCP'!$B$8:$B$42,0),MATCH(B$12,'2017 GNCP'!$B$8:$R$8,0))</f>
        <v>8201.2538466420592</v>
      </c>
      <c r="C30" s="14">
        <v>0</v>
      </c>
      <c r="D30" s="14">
        <v>1.0000000000000011</v>
      </c>
      <c r="E30" s="14">
        <v>0</v>
      </c>
      <c r="F30" s="14">
        <v>1.0218365995754572</v>
      </c>
      <c r="G30" s="14">
        <v>1.0348230509591971</v>
      </c>
      <c r="H30" s="14">
        <v>1.0644101236847672</v>
      </c>
      <c r="I30" s="10">
        <f t="shared" si="0"/>
        <v>8486.8465272729973</v>
      </c>
      <c r="J30" s="77">
        <f t="shared" si="1"/>
        <v>3.5423176361946192E-4</v>
      </c>
      <c r="K30" s="2"/>
      <c r="L30" s="10">
        <f>INDEX('2017 SALES'!$B$8:$Q$42,MATCH($A30,'2017 SALES'!$B$8:$B$42,0),MATCH(L$12,'2017 SALES'!$B$8:$Q$8,0))</f>
        <v>11856926</v>
      </c>
      <c r="M30" s="100">
        <f t="shared" si="6"/>
        <v>11856.925999999999</v>
      </c>
      <c r="N30" s="14">
        <v>0</v>
      </c>
      <c r="O30" s="14">
        <v>1.0000000000000011</v>
      </c>
      <c r="P30" s="14">
        <v>0</v>
      </c>
      <c r="Q30" s="14">
        <v>1.0170051802969728</v>
      </c>
      <c r="R30" s="14">
        <v>1.0266921244920639</v>
      </c>
      <c r="S30" s="14">
        <v>1.0486289832939273</v>
      </c>
      <c r="T30" s="10">
        <f t="shared" si="2"/>
        <v>12173.412544885203</v>
      </c>
      <c r="U30" s="10">
        <f t="shared" si="7"/>
        <v>1389.6589663110963</v>
      </c>
      <c r="V30" s="77">
        <f t="shared" si="3"/>
        <v>1.0775161057141605E-4</v>
      </c>
      <c r="W30" s="76"/>
      <c r="X30" s="10">
        <f t="shared" si="4"/>
        <v>7097.187560961901</v>
      </c>
      <c r="Y30" s="77">
        <f t="shared" si="5"/>
        <v>6.4160686560419506E-4</v>
      </c>
      <c r="Z30" s="76"/>
      <c r="AA30" s="77">
        <f t="shared" si="8"/>
        <v>3.4344158448407138E-4</v>
      </c>
    </row>
    <row r="31" spans="1:27" ht="18" customHeight="1" x14ac:dyDescent="0.2">
      <c r="A31" s="186" t="s">
        <v>30</v>
      </c>
      <c r="B31" s="101">
        <f>INDEX('2017 GNCP'!$B$8:$R$42,MATCH($A31,'2017 GNCP'!$B$8:$B$42,0),MATCH(B$12,'2017 GNCP'!$B$8:$R$8,0))</f>
        <v>57625.579904252903</v>
      </c>
      <c r="C31" s="14">
        <v>1.0000000000000011</v>
      </c>
      <c r="D31" s="14">
        <v>0</v>
      </c>
      <c r="E31" s="14">
        <v>0</v>
      </c>
      <c r="F31" s="14">
        <v>1.0218365995754572</v>
      </c>
      <c r="G31" s="14">
        <v>1.0348230509591971</v>
      </c>
      <c r="H31" s="14">
        <v>1.0644101236847672</v>
      </c>
      <c r="I31" s="10">
        <f t="shared" si="0"/>
        <v>58883.926617925659</v>
      </c>
      <c r="J31" s="77">
        <f t="shared" si="1"/>
        <v>2.4577511927046805E-3</v>
      </c>
      <c r="K31" s="2"/>
      <c r="L31" s="10">
        <f>INDEX('2017 SALES'!$B$8:$Q$42,MATCH($A31,'2017 SALES'!$B$8:$B$42,0),MATCH(L$12,'2017 SALES'!$B$8:$Q$8,0))</f>
        <v>89667754</v>
      </c>
      <c r="M31" s="100">
        <f t="shared" si="6"/>
        <v>89667.754000000001</v>
      </c>
      <c r="N31" s="14">
        <v>1.0000000000000011</v>
      </c>
      <c r="O31" s="14">
        <v>0</v>
      </c>
      <c r="P31" s="14">
        <v>0</v>
      </c>
      <c r="Q31" s="14">
        <v>1.0170051802969728</v>
      </c>
      <c r="R31" s="14">
        <v>1.0266921244920639</v>
      </c>
      <c r="S31" s="14">
        <v>1.0486289832939273</v>
      </c>
      <c r="T31" s="10">
        <f t="shared" si="2"/>
        <v>91192.570323594715</v>
      </c>
      <c r="U31" s="10">
        <f t="shared" si="7"/>
        <v>10410.110767533643</v>
      </c>
      <c r="V31" s="77">
        <f t="shared" si="3"/>
        <v>8.0718091893164476E-4</v>
      </c>
      <c r="W31" s="76"/>
      <c r="X31" s="10">
        <f t="shared" si="4"/>
        <v>48473.815850392013</v>
      </c>
      <c r="Y31" s="77">
        <f t="shared" si="5"/>
        <v>4.3821771348860547E-3</v>
      </c>
      <c r="Z31" s="76"/>
      <c r="AA31" s="77">
        <f t="shared" si="8"/>
        <v>2.3854940608045313E-3</v>
      </c>
    </row>
    <row r="32" spans="1:27" ht="18" customHeight="1" x14ac:dyDescent="0.2">
      <c r="B32" s="87"/>
      <c r="C32" s="14"/>
      <c r="D32" s="14"/>
      <c r="E32" s="14"/>
      <c r="F32" s="14"/>
      <c r="G32" s="14"/>
      <c r="H32" s="14"/>
      <c r="I32" s="10"/>
      <c r="J32" s="77"/>
      <c r="K32" s="2"/>
      <c r="L32" s="10"/>
      <c r="M32" s="10"/>
      <c r="N32" s="14"/>
      <c r="O32" s="14"/>
      <c r="P32" s="14"/>
      <c r="Q32" s="14"/>
      <c r="R32" s="14"/>
      <c r="S32" s="14"/>
      <c r="T32" s="10"/>
      <c r="U32" s="10"/>
      <c r="V32" s="77"/>
      <c r="W32" s="76"/>
      <c r="X32" s="10"/>
      <c r="Y32" s="77"/>
      <c r="Z32" s="76"/>
      <c r="AA32" s="77"/>
    </row>
    <row r="33" spans="1:27" ht="18" customHeight="1" x14ac:dyDescent="0.2">
      <c r="B33" s="3"/>
      <c r="C33" s="14"/>
      <c r="D33" s="14"/>
      <c r="E33" s="14"/>
      <c r="F33" s="14"/>
      <c r="G33" s="14"/>
      <c r="H33" s="14"/>
      <c r="J33" s="77"/>
      <c r="K33" s="2"/>
      <c r="N33" s="14"/>
      <c r="O33" s="14"/>
      <c r="P33" s="14"/>
      <c r="Q33" s="14"/>
      <c r="R33" s="14"/>
      <c r="S33" s="14"/>
      <c r="T33" s="3"/>
      <c r="U33" s="3"/>
      <c r="V33" s="77"/>
      <c r="W33" s="76"/>
      <c r="X33" s="76"/>
      <c r="Y33" s="76"/>
      <c r="Z33" s="76"/>
      <c r="AA33" s="77"/>
    </row>
    <row r="34" spans="1:27" ht="18" customHeight="1" thickBot="1" x14ac:dyDescent="0.25">
      <c r="A34" s="2" t="s">
        <v>173</v>
      </c>
      <c r="B34" s="13">
        <f>SUM(B15:B33)</f>
        <v>22532032.276573509</v>
      </c>
      <c r="C34" s="14"/>
      <c r="D34" s="14"/>
      <c r="E34" s="14"/>
      <c r="F34" s="14"/>
      <c r="G34" s="14"/>
      <c r="H34" s="14"/>
      <c r="I34" s="13">
        <f>SUM(I15:I33)</f>
        <v>23958457.14273693</v>
      </c>
      <c r="J34" s="78">
        <f>SUM(J15:J33)</f>
        <v>0.99999999999999989</v>
      </c>
      <c r="K34" s="2"/>
      <c r="L34" s="13">
        <f>SUM(L15:L33)</f>
        <v>107842681173</v>
      </c>
      <c r="M34" s="13">
        <f>SUM(M15:M33)</f>
        <v>107842681.17299999</v>
      </c>
      <c r="N34" s="14"/>
      <c r="O34" s="14"/>
      <c r="P34" s="14"/>
      <c r="Q34" s="14"/>
      <c r="R34" s="14"/>
      <c r="S34" s="14"/>
      <c r="T34" s="13">
        <f>SUM(T15:T33)</f>
        <v>112976617.98583381</v>
      </c>
      <c r="U34" s="13">
        <f>SUM(U15:U33)</f>
        <v>12896874.199296094</v>
      </c>
      <c r="V34" s="78">
        <f>SUM(V15:V33)</f>
        <v>0.99999999999999989</v>
      </c>
      <c r="W34" s="76"/>
      <c r="X34" s="13">
        <f>SUM(X15:X33)</f>
        <v>11061582.943440836</v>
      </c>
      <c r="Y34" s="78">
        <f>SUM(Y15:Y32)</f>
        <v>0.99999999999999989</v>
      </c>
      <c r="Z34" s="76"/>
      <c r="AA34" s="78">
        <f>SUM(AA15:AA33)</f>
        <v>0.99999999999999989</v>
      </c>
    </row>
    <row r="35" spans="1:27" ht="15" customHeight="1" thickTop="1" x14ac:dyDescent="0.2">
      <c r="E35" s="14"/>
      <c r="F35" s="14"/>
      <c r="H35" s="14"/>
      <c r="I35" s="14"/>
      <c r="J35" s="14"/>
      <c r="K35" s="14"/>
      <c r="Q35" s="15"/>
    </row>
    <row r="36" spans="1:27" ht="15" customHeight="1" x14ac:dyDescent="0.2">
      <c r="A36" s="16"/>
      <c r="U36" s="10"/>
    </row>
    <row r="37" spans="1:27" ht="15" customHeight="1" x14ac:dyDescent="0.2">
      <c r="A37" s="16" t="s">
        <v>177</v>
      </c>
      <c r="C37" s="2"/>
      <c r="H37" s="2"/>
      <c r="I37" s="2"/>
      <c r="J37" s="2"/>
    </row>
    <row r="38" spans="1:27" ht="15" customHeight="1" x14ac:dyDescent="0.2">
      <c r="A38" s="18" t="s">
        <v>220</v>
      </c>
      <c r="C38" s="2"/>
      <c r="H38" s="2"/>
      <c r="I38" s="2"/>
      <c r="J38" s="2"/>
      <c r="U38" s="93"/>
    </row>
    <row r="39" spans="1:27" ht="15" customHeight="1" x14ac:dyDescent="0.2">
      <c r="A39" s="91" t="s">
        <v>221</v>
      </c>
      <c r="C39" s="2"/>
      <c r="H39" s="2"/>
      <c r="I39" s="2"/>
      <c r="J39" s="2"/>
    </row>
    <row r="40" spans="1:27" ht="15" customHeight="1" x14ac:dyDescent="0.2">
      <c r="A40" s="91" t="s">
        <v>222</v>
      </c>
      <c r="C40" s="2"/>
      <c r="H40" s="2"/>
      <c r="I40" s="2"/>
      <c r="J40" s="2"/>
    </row>
    <row r="41" spans="1:27" ht="15" customHeight="1" x14ac:dyDescent="0.2">
      <c r="A41" s="91" t="s">
        <v>223</v>
      </c>
      <c r="C41" s="2"/>
      <c r="H41" s="2"/>
      <c r="I41" s="2"/>
      <c r="J41" s="2"/>
    </row>
    <row r="42" spans="1:27" ht="15" customHeight="1" x14ac:dyDescent="0.2">
      <c r="A42" s="18" t="s">
        <v>194</v>
      </c>
      <c r="C42" s="2"/>
      <c r="H42" s="2"/>
      <c r="I42" s="2"/>
      <c r="J42" s="2"/>
    </row>
    <row r="43" spans="1:27" ht="15" customHeight="1" x14ac:dyDescent="0.2">
      <c r="A43" s="18" t="s">
        <v>178</v>
      </c>
      <c r="C43" s="2"/>
      <c r="H43" s="2"/>
      <c r="I43" s="2"/>
      <c r="J43" s="2"/>
    </row>
    <row r="44" spans="1:27" ht="15" customHeight="1" x14ac:dyDescent="0.2">
      <c r="A44" s="19" t="s">
        <v>176</v>
      </c>
      <c r="C44" s="2"/>
      <c r="H44" s="2"/>
      <c r="I44" s="2"/>
      <c r="J44" s="2"/>
    </row>
    <row r="45" spans="1:27" ht="15" customHeight="1" x14ac:dyDescent="0.2">
      <c r="C45" s="2"/>
      <c r="H45" s="2"/>
      <c r="I45" s="2"/>
      <c r="J45" s="2"/>
    </row>
    <row r="46" spans="1:27" ht="15" customHeight="1" x14ac:dyDescent="0.2">
      <c r="B46" s="216" t="s">
        <v>340</v>
      </c>
      <c r="C46" s="2"/>
      <c r="D46" s="217"/>
      <c r="E46" s="217" t="s">
        <v>239</v>
      </c>
      <c r="F46" s="217"/>
      <c r="G46" s="218" t="s">
        <v>342</v>
      </c>
      <c r="H46" s="2"/>
      <c r="I46" s="2" t="s">
        <v>343</v>
      </c>
      <c r="J46" s="2"/>
    </row>
    <row r="47" spans="1:27" ht="15" customHeight="1" x14ac:dyDescent="0.2">
      <c r="A47" s="2" t="s">
        <v>338</v>
      </c>
      <c r="B47" s="15">
        <f>'System Load Factor'!$B$4</f>
        <v>13592003.297575261</v>
      </c>
      <c r="C47" s="2" t="s">
        <v>339</v>
      </c>
      <c r="D47" s="240">
        <f>'System Load Factor'!$B$6</f>
        <v>24336040.599945236</v>
      </c>
      <c r="E47" s="241"/>
      <c r="F47" s="217" t="s">
        <v>341</v>
      </c>
      <c r="G47" s="217">
        <f>B47/D47</f>
        <v>0.55851333916684243</v>
      </c>
      <c r="H47" s="217"/>
      <c r="I47" s="217">
        <f>1-G47</f>
        <v>0.44148666083315757</v>
      </c>
      <c r="J47" s="217"/>
    </row>
  </sheetData>
  <mergeCells count="10">
    <mergeCell ref="D47:E47"/>
    <mergeCell ref="A4:AA4"/>
    <mergeCell ref="A5:AA5"/>
    <mergeCell ref="C12:E12"/>
    <mergeCell ref="F12:H12"/>
    <mergeCell ref="N12:P12"/>
    <mergeCell ref="Q12:S12"/>
    <mergeCell ref="B11:J11"/>
    <mergeCell ref="M11:V11"/>
    <mergeCell ref="X11:Y11"/>
  </mergeCells>
  <phoneticPr fontId="2" type="noConversion"/>
  <printOptions horizontalCentered="1"/>
  <pageMargins left="0.5" right="0.5" top="0.75" bottom="0.5" header="0" footer="0"/>
  <pageSetup scale="75" pageOrder="overThenDown" orientation="landscape" cellComments="asDisplayed" r:id="rId1"/>
  <headerFooter alignWithMargins="0"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AA47"/>
  <sheetViews>
    <sheetView showGridLines="0" defaultGridColor="0" colorId="8" zoomScale="75" zoomScaleNormal="75" zoomScaleSheetLayoutView="75" workbookViewId="0">
      <selection activeCell="A2" sqref="A2"/>
    </sheetView>
  </sheetViews>
  <sheetFormatPr defaultColWidth="9.140625" defaultRowHeight="15" customHeight="1" x14ac:dyDescent="0.2"/>
  <cols>
    <col min="1" max="1" width="21" style="2" customWidth="1"/>
    <col min="2" max="2" width="11.7109375" style="2" customWidth="1"/>
    <col min="3" max="8" width="7.42578125" style="3" customWidth="1"/>
    <col min="9" max="9" width="11.85546875" style="3" customWidth="1"/>
    <col min="10" max="10" width="9.28515625" style="3" bestFit="1" customWidth="1"/>
    <col min="11" max="11" width="2.7109375" style="3" customWidth="1"/>
    <col min="12" max="12" width="12.7109375" style="3" hidden="1" customWidth="1"/>
    <col min="13" max="13" width="12.7109375" style="3" bestFit="1" customWidth="1"/>
    <col min="14" max="19" width="7.42578125" style="2" customWidth="1"/>
    <col min="20" max="20" width="12.7109375" style="2" bestFit="1" customWidth="1"/>
    <col min="21" max="21" width="16" style="2" bestFit="1" customWidth="1"/>
    <col min="22" max="22" width="9.28515625" style="2" bestFit="1" customWidth="1"/>
    <col min="23" max="23" width="2.7109375" style="2" customWidth="1"/>
    <col min="24" max="25" width="11.7109375" style="2" customWidth="1"/>
    <col min="26" max="26" width="2.7109375" style="2" customWidth="1"/>
    <col min="27" max="27" width="14.5703125" style="2" customWidth="1"/>
    <col min="28" max="16384" width="9.140625" style="2"/>
  </cols>
  <sheetData>
    <row r="1" spans="1:27" s="224" customFormat="1" ht="15" customHeight="1" x14ac:dyDescent="0.2">
      <c r="A1" s="224" t="s">
        <v>368</v>
      </c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</row>
    <row r="2" spans="1:27" s="224" customFormat="1" ht="15" customHeight="1" x14ac:dyDescent="0.2">
      <c r="A2" s="224" t="s">
        <v>364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</row>
    <row r="3" spans="1:27" s="224" customFormat="1" ht="15" customHeight="1" x14ac:dyDescent="0.2"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</row>
    <row r="4" spans="1:27" s="17" customFormat="1" ht="20.100000000000001" customHeight="1" x14ac:dyDescent="0.2">
      <c r="A4" s="229" t="s">
        <v>242</v>
      </c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29"/>
      <c r="AA4" s="229"/>
    </row>
    <row r="5" spans="1:27" s="17" customFormat="1" ht="20.100000000000001" customHeight="1" x14ac:dyDescent="0.2">
      <c r="A5" s="230" t="s">
        <v>344</v>
      </c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  <c r="Y5" s="230"/>
      <c r="Z5" s="230"/>
      <c r="AA5" s="230"/>
    </row>
    <row r="6" spans="1:27" ht="15" customHeight="1" x14ac:dyDescent="0.2">
      <c r="A6" s="11"/>
    </row>
    <row r="7" spans="1:27" ht="15" customHeight="1" x14ac:dyDescent="0.2">
      <c r="A7" s="16" t="s">
        <v>354</v>
      </c>
    </row>
    <row r="8" spans="1:27" ht="15" customHeight="1" x14ac:dyDescent="0.2">
      <c r="A8" s="79"/>
    </row>
    <row r="9" spans="1:27" ht="15" customHeight="1" x14ac:dyDescent="0.2">
      <c r="A9" s="16" t="s">
        <v>190</v>
      </c>
    </row>
    <row r="10" spans="1:27" ht="15" customHeight="1" thickBot="1" x14ac:dyDescent="0.25">
      <c r="C10" s="8"/>
      <c r="D10" s="8"/>
      <c r="E10" s="8"/>
      <c r="F10" s="2"/>
      <c r="G10" s="8"/>
      <c r="H10" s="9"/>
      <c r="I10" s="8"/>
      <c r="J10" s="8"/>
      <c r="K10" s="8"/>
      <c r="L10" s="8"/>
      <c r="M10" s="8"/>
    </row>
    <row r="11" spans="1:27" ht="18" customHeight="1" thickBot="1" x14ac:dyDescent="0.25">
      <c r="B11" s="237" t="s">
        <v>337</v>
      </c>
      <c r="C11" s="238"/>
      <c r="D11" s="238"/>
      <c r="E11" s="238"/>
      <c r="F11" s="238"/>
      <c r="G11" s="238"/>
      <c r="H11" s="238"/>
      <c r="I11" s="238"/>
      <c r="J11" s="239"/>
      <c r="K11" s="69"/>
      <c r="L11" s="69"/>
      <c r="M11" s="237" t="s">
        <v>217</v>
      </c>
      <c r="N11" s="238"/>
      <c r="O11" s="238"/>
      <c r="P11" s="238"/>
      <c r="Q11" s="238"/>
      <c r="R11" s="238"/>
      <c r="S11" s="238"/>
      <c r="T11" s="238"/>
      <c r="U11" s="238"/>
      <c r="V11" s="239"/>
      <c r="X11" s="83" t="s">
        <v>337</v>
      </c>
      <c r="Y11"/>
    </row>
    <row r="12" spans="1:27" s="12" customFormat="1" ht="18" customHeight="1" thickBot="1" x14ac:dyDescent="0.25">
      <c r="B12" s="70" t="s">
        <v>337</v>
      </c>
      <c r="C12" s="231" t="s">
        <v>195</v>
      </c>
      <c r="D12" s="232"/>
      <c r="E12" s="233"/>
      <c r="F12" s="234" t="s">
        <v>181</v>
      </c>
      <c r="G12" s="235"/>
      <c r="H12" s="236"/>
      <c r="I12" s="81" t="s">
        <v>337</v>
      </c>
      <c r="J12" s="85" t="s">
        <v>185</v>
      </c>
      <c r="K12" s="71"/>
      <c r="L12" s="70" t="s">
        <v>243</v>
      </c>
      <c r="M12" s="70" t="s">
        <v>108</v>
      </c>
      <c r="N12" s="231" t="s">
        <v>195</v>
      </c>
      <c r="O12" s="232"/>
      <c r="P12" s="233"/>
      <c r="Q12" s="234" t="s">
        <v>181</v>
      </c>
      <c r="R12" s="235"/>
      <c r="S12" s="236"/>
      <c r="T12" s="88" t="s">
        <v>108</v>
      </c>
      <c r="U12" s="81" t="s">
        <v>208</v>
      </c>
      <c r="V12" s="85" t="s">
        <v>185</v>
      </c>
      <c r="X12" s="90" t="s">
        <v>345</v>
      </c>
      <c r="Y12"/>
    </row>
    <row r="13" spans="1:27" s="12" customFormat="1" ht="18" customHeight="1" thickBot="1" x14ac:dyDescent="0.25">
      <c r="A13" s="12" t="s">
        <v>3</v>
      </c>
      <c r="B13" s="72" t="s">
        <v>180</v>
      </c>
      <c r="C13" s="73" t="s">
        <v>182</v>
      </c>
      <c r="D13" s="74" t="s">
        <v>184</v>
      </c>
      <c r="E13" s="75" t="s">
        <v>183</v>
      </c>
      <c r="F13" s="73" t="s">
        <v>182</v>
      </c>
      <c r="G13" s="74" t="s">
        <v>184</v>
      </c>
      <c r="H13" s="75" t="s">
        <v>183</v>
      </c>
      <c r="I13" s="82" t="s">
        <v>193</v>
      </c>
      <c r="J13" s="86" t="s">
        <v>186</v>
      </c>
      <c r="K13" s="71"/>
      <c r="L13" s="72" t="s">
        <v>180</v>
      </c>
      <c r="M13" s="72" t="s">
        <v>180</v>
      </c>
      <c r="N13" s="73" t="s">
        <v>182</v>
      </c>
      <c r="O13" s="74" t="s">
        <v>184</v>
      </c>
      <c r="P13" s="75" t="s">
        <v>183</v>
      </c>
      <c r="Q13" s="73" t="s">
        <v>182</v>
      </c>
      <c r="R13" s="74" t="s">
        <v>184</v>
      </c>
      <c r="S13" s="75" t="s">
        <v>183</v>
      </c>
      <c r="T13" s="89" t="s">
        <v>193</v>
      </c>
      <c r="U13" s="82" t="s">
        <v>219</v>
      </c>
      <c r="V13" s="86" t="s">
        <v>186</v>
      </c>
      <c r="X13" s="84" t="s">
        <v>188</v>
      </c>
      <c r="Y13"/>
    </row>
    <row r="14" spans="1:27" ht="18" customHeight="1" x14ac:dyDescent="0.2">
      <c r="B14" s="3"/>
      <c r="K14" s="2"/>
      <c r="L14" s="2"/>
      <c r="M14" s="2"/>
      <c r="V14" s="3"/>
      <c r="Y14"/>
    </row>
    <row r="15" spans="1:27" ht="18" customHeight="1" x14ac:dyDescent="0.2">
      <c r="A15" s="186" t="s">
        <v>5</v>
      </c>
      <c r="B15" s="101">
        <f>INDEX('2017 CP'!$B$8:$R$42,MATCH($A15,'2017 CP'!$B$8:$B$42,0),MATCH("AUG",'2017 CP'!$B$8:$R$8,0))</f>
        <v>374801.57500193903</v>
      </c>
      <c r="C15" s="14">
        <v>0</v>
      </c>
      <c r="D15" s="14">
        <v>0.39212000000000102</v>
      </c>
      <c r="E15" s="14">
        <v>0.60788000000000098</v>
      </c>
      <c r="F15" s="14">
        <v>1.0218365995754572</v>
      </c>
      <c r="G15" s="14">
        <v>1.0348230509591971</v>
      </c>
      <c r="H15" s="14">
        <v>1.0644101236847672</v>
      </c>
      <c r="I15" s="10">
        <f t="shared" ref="I15:I31" si="0">(B15*C15*F15)+(B15*D15*G15)+(B15*E15*H15)</f>
        <v>394594.26176004705</v>
      </c>
      <c r="J15" s="77">
        <f t="shared" ref="J15:J31" si="1">+I15/I$34</f>
        <v>1.7117650508330425E-2</v>
      </c>
      <c r="K15" s="2"/>
      <c r="L15" s="10">
        <f>INDEX('2017 SALES'!$B$8:$Q$42,MATCH($A15,'2017 SALES'!$B$8:$B$42,0),MATCH(L$12,'2017 SALES'!$B$8:$Q$8,0))</f>
        <v>2696313286</v>
      </c>
      <c r="M15" s="100">
        <f>L15/1000</f>
        <v>2696313.2859999998</v>
      </c>
      <c r="N15" s="14">
        <v>0</v>
      </c>
      <c r="O15" s="14">
        <v>0.39212000000000102</v>
      </c>
      <c r="P15" s="14">
        <v>0.60788000000000098</v>
      </c>
      <c r="Q15" s="14">
        <v>1.0170051802969728</v>
      </c>
      <c r="R15" s="14">
        <v>1.0266921244920639</v>
      </c>
      <c r="S15" s="14">
        <v>1.0486289832939273</v>
      </c>
      <c r="T15" s="10">
        <f t="shared" ref="T15:T31" si="2">(M15*N15*Q15)+(M15*O15*R15)+(M15*P15*S15)</f>
        <v>2804238.8935173294</v>
      </c>
      <c r="U15" s="10">
        <f>+T15/8760*1000</f>
        <v>320118.5951503801</v>
      </c>
      <c r="V15" s="77">
        <f t="shared" ref="V15:V31" si="3">+T15/T$34</f>
        <v>2.482140945190052E-2</v>
      </c>
      <c r="W15" s="76"/>
      <c r="X15" s="77">
        <f>(V15*$J$47)+(J15*(1-$J$47))</f>
        <v>2.2057631568418327E-2</v>
      </c>
      <c r="Y15"/>
      <c r="Z15" s="76"/>
    </row>
    <row r="16" spans="1:27" ht="18" customHeight="1" x14ac:dyDescent="0.2">
      <c r="A16" s="186" t="s">
        <v>6</v>
      </c>
      <c r="B16" s="101">
        <f>INDEX('2017 CP'!$B$8:$R$42,MATCH($A16,'2017 CP'!$B$8:$B$42,0),MATCH("AUG",'2017 CP'!$B$8:$R$8,0))</f>
        <v>14490.6676495674</v>
      </c>
      <c r="C16" s="14">
        <v>0</v>
      </c>
      <c r="D16" s="14">
        <v>1.4280000000000998E-2</v>
      </c>
      <c r="E16" s="14">
        <v>0.98572000000000104</v>
      </c>
      <c r="F16" s="14">
        <v>1.0218365995754572</v>
      </c>
      <c r="G16" s="14">
        <v>1.0348230509591971</v>
      </c>
      <c r="H16" s="14">
        <v>1.0644101236847672</v>
      </c>
      <c r="I16" s="10">
        <f t="shared" si="0"/>
        <v>15417.890988822139</v>
      </c>
      <c r="J16" s="77">
        <f t="shared" si="1"/>
        <v>6.6883402800896037E-4</v>
      </c>
      <c r="K16" s="2"/>
      <c r="L16" s="10">
        <f>INDEX('2017 SALES'!$B$8:$Q$42,MATCH($A16,'2017 SALES'!$B$8:$B$42,0),MATCH(L$12,'2017 SALES'!$B$8:$Q$8,0))</f>
        <v>101976406</v>
      </c>
      <c r="M16" s="100">
        <f t="shared" ref="M16:M31" si="4">L16/1000</f>
        <v>101976.406</v>
      </c>
      <c r="N16" s="14">
        <v>0</v>
      </c>
      <c r="O16" s="14">
        <v>1.4280000000000998E-2</v>
      </c>
      <c r="P16" s="14">
        <v>0.98572000000000104</v>
      </c>
      <c r="Q16" s="14">
        <v>1.0170051802969728</v>
      </c>
      <c r="R16" s="14">
        <v>1.0266921244920639</v>
      </c>
      <c r="S16" s="14">
        <v>1.0486289832939273</v>
      </c>
      <c r="T16" s="10">
        <f t="shared" si="2"/>
        <v>106903.46998370987</v>
      </c>
      <c r="U16" s="10">
        <f t="shared" ref="U16:U31" si="5">+T16/8760*1000</f>
        <v>12203.592463893821</v>
      </c>
      <c r="V16" s="77">
        <f t="shared" si="3"/>
        <v>9.4624420423980611E-4</v>
      </c>
      <c r="W16" s="76"/>
      <c r="X16" s="77">
        <f t="shared" ref="X16:X31" si="6">(V16*$J$47)+(J16*(1-$J$47))</f>
        <v>8.4672134593962107E-4</v>
      </c>
      <c r="Y16"/>
      <c r="Z16" s="76"/>
    </row>
    <row r="17" spans="1:26" ht="18" customHeight="1" x14ac:dyDescent="0.2">
      <c r="A17" s="186" t="s">
        <v>7</v>
      </c>
      <c r="B17" s="101">
        <f>INDEX('2017 CP'!$B$8:$R$42,MATCH($A17,'2017 CP'!$B$8:$B$42,0),MATCH("AUG",'2017 CP'!$B$8:$R$8,0))</f>
        <v>192960.41908782101</v>
      </c>
      <c r="C17" s="14">
        <v>1.0000000000000011</v>
      </c>
      <c r="D17" s="14">
        <v>0</v>
      </c>
      <c r="E17" s="14">
        <v>0</v>
      </c>
      <c r="F17" s="14">
        <v>1.0218365995754572</v>
      </c>
      <c r="G17" s="14">
        <v>1.0348230509591971</v>
      </c>
      <c r="H17" s="14">
        <v>1.0644101236847672</v>
      </c>
      <c r="I17" s="10">
        <f t="shared" si="0"/>
        <v>197174.01849335438</v>
      </c>
      <c r="J17" s="77">
        <f t="shared" si="1"/>
        <v>8.5534845915847448E-3</v>
      </c>
      <c r="K17" s="2"/>
      <c r="L17" s="10">
        <f>INDEX('2017 SALES'!$B$8:$Q$42,MATCH($A17,'2017 SALES'!$B$8:$B$42,0),MATCH(L$12,'2017 SALES'!$B$8:$Q$8,0))</f>
        <v>1508921571</v>
      </c>
      <c r="M17" s="100">
        <f t="shared" si="4"/>
        <v>1508921.571</v>
      </c>
      <c r="N17" s="14">
        <v>1.0000000000000011</v>
      </c>
      <c r="O17" s="14">
        <v>0</v>
      </c>
      <c r="P17" s="14">
        <v>0</v>
      </c>
      <c r="Q17" s="14">
        <v>1.0170051802969728</v>
      </c>
      <c r="R17" s="14">
        <v>1.0266921244920639</v>
      </c>
      <c r="S17" s="14">
        <v>1.0486289832939273</v>
      </c>
      <c r="T17" s="10">
        <f t="shared" si="2"/>
        <v>1534581.0543688482</v>
      </c>
      <c r="U17" s="10">
        <f t="shared" si="5"/>
        <v>175180.48565854432</v>
      </c>
      <c r="V17" s="77">
        <f t="shared" si="3"/>
        <v>1.3583173949863414E-2</v>
      </c>
      <c r="W17" s="76"/>
      <c r="X17" s="77">
        <f t="shared" si="6"/>
        <v>1.1778737399989447E-2</v>
      </c>
      <c r="Y17"/>
      <c r="Z17" s="76"/>
    </row>
    <row r="18" spans="1:26" ht="18" customHeight="1" x14ac:dyDescent="0.2">
      <c r="A18" s="186" t="s">
        <v>171</v>
      </c>
      <c r="B18" s="101">
        <f>INDEX('2017 CP'!$B$8:$R$42,MATCH($A18,'2017 CP'!$B$8:$B$42,0),MATCH("AUG",'2017 CP'!$B$8:$R$8,0))</f>
        <v>1301605.0352423999</v>
      </c>
      <c r="C18" s="14">
        <v>0</v>
      </c>
      <c r="D18" s="14">
        <v>0</v>
      </c>
      <c r="E18" s="14">
        <v>1.0000000000000011</v>
      </c>
      <c r="F18" s="14">
        <v>1.0218365995754572</v>
      </c>
      <c r="G18" s="14">
        <v>1.0348230509591971</v>
      </c>
      <c r="H18" s="14">
        <v>1.0644101236847672</v>
      </c>
      <c r="I18" s="10">
        <f t="shared" si="0"/>
        <v>1385441.57655108</v>
      </c>
      <c r="J18" s="77">
        <f t="shared" si="1"/>
        <v>6.0100987280785917E-2</v>
      </c>
      <c r="K18" s="2"/>
      <c r="L18" s="10">
        <f>INDEX('2017 SALES'!$B$8:$Q$42,MATCH($A18,'2017 SALES'!$B$8:$B$42,0),MATCH(L$12,'2017 SALES'!$B$8:$Q$8,0))</f>
        <v>5996275128</v>
      </c>
      <c r="M18" s="100">
        <f t="shared" si="4"/>
        <v>5996275.1279999996</v>
      </c>
      <c r="N18" s="14">
        <v>0</v>
      </c>
      <c r="O18" s="14">
        <v>0</v>
      </c>
      <c r="P18" s="14">
        <v>1.0000000000000011</v>
      </c>
      <c r="Q18" s="14">
        <v>1.0170051802969728</v>
      </c>
      <c r="R18" s="14">
        <v>1.0266921244920639</v>
      </c>
      <c r="S18" s="14">
        <v>1.0486289832939273</v>
      </c>
      <c r="T18" s="10">
        <f t="shared" si="2"/>
        <v>6287867.8910253104</v>
      </c>
      <c r="U18" s="10">
        <f t="shared" si="5"/>
        <v>717793.13824489852</v>
      </c>
      <c r="V18" s="77">
        <f t="shared" si="3"/>
        <v>5.565636503487606E-2</v>
      </c>
      <c r="W18" s="76"/>
      <c r="X18" s="77">
        <f t="shared" si="6"/>
        <v>5.7250904629593174E-2</v>
      </c>
      <c r="Y18"/>
      <c r="Z18" s="76"/>
    </row>
    <row r="19" spans="1:26" ht="18" customHeight="1" x14ac:dyDescent="0.2">
      <c r="A19" s="186" t="s">
        <v>12</v>
      </c>
      <c r="B19" s="101">
        <f>INDEX('2017 CP'!$B$8:$R$42,MATCH($A19,'2017 CP'!$B$8:$B$42,0),MATCH("AUG",'2017 CP'!$B$8:$R$8,0))</f>
        <v>8632.5264881241692</v>
      </c>
      <c r="C19" s="14">
        <v>0</v>
      </c>
      <c r="D19" s="14">
        <v>0</v>
      </c>
      <c r="E19" s="14">
        <v>1.0000000000000011</v>
      </c>
      <c r="F19" s="14">
        <v>1.0218365995754572</v>
      </c>
      <c r="G19" s="14">
        <v>1.0348230509591971</v>
      </c>
      <c r="H19" s="14">
        <v>1.0644101236847672</v>
      </c>
      <c r="I19" s="10">
        <f t="shared" si="0"/>
        <v>9188.5485869362856</v>
      </c>
      <c r="J19" s="77">
        <f t="shared" si="1"/>
        <v>3.9860276398452703E-4</v>
      </c>
      <c r="K19" s="2"/>
      <c r="L19" s="10">
        <f>INDEX('2017 SALES'!$B$8:$Q$42,MATCH($A19,'2017 SALES'!$B$8:$B$42,0),MATCH(L$12,'2017 SALES'!$B$8:$Q$8,0))</f>
        <v>70241818</v>
      </c>
      <c r="M19" s="100">
        <f t="shared" si="4"/>
        <v>70241.817999999999</v>
      </c>
      <c r="N19" s="14">
        <v>0</v>
      </c>
      <c r="O19" s="14">
        <v>0</v>
      </c>
      <c r="P19" s="14">
        <v>1.0000000000000011</v>
      </c>
      <c r="Q19" s="14">
        <v>1.0170051802969728</v>
      </c>
      <c r="R19" s="14">
        <v>1.0266921244920639</v>
      </c>
      <c r="S19" s="14">
        <v>1.0486289832939273</v>
      </c>
      <c r="T19" s="10">
        <f t="shared" si="2"/>
        <v>73657.606194057153</v>
      </c>
      <c r="U19" s="10">
        <f t="shared" si="5"/>
        <v>8408.4025335681672</v>
      </c>
      <c r="V19" s="77">
        <f t="shared" si="3"/>
        <v>6.519721293417822E-4</v>
      </c>
      <c r="W19" s="76"/>
      <c r="X19" s="77">
        <f t="shared" si="6"/>
        <v>5.6107408158929278E-4</v>
      </c>
      <c r="Y19"/>
      <c r="Z19" s="76"/>
    </row>
    <row r="20" spans="1:26" ht="18" customHeight="1" x14ac:dyDescent="0.2">
      <c r="A20" s="186" t="s">
        <v>170</v>
      </c>
      <c r="B20" s="101">
        <f>INDEX('2017 CP'!$B$8:$R$42,MATCH($A20,'2017 CP'!$B$8:$B$42,0),MATCH("AUG",'2017 CP'!$B$8:$R$8,0))</f>
        <v>4580866.8392105903</v>
      </c>
      <c r="C20" s="14">
        <v>0</v>
      </c>
      <c r="D20" s="14">
        <v>2.8800000000010002E-3</v>
      </c>
      <c r="E20" s="14">
        <v>0.99712000000000101</v>
      </c>
      <c r="F20" s="14">
        <v>1.0218365995754572</v>
      </c>
      <c r="G20" s="14">
        <v>1.0348230509591971</v>
      </c>
      <c r="H20" s="14">
        <v>1.0644101236847672</v>
      </c>
      <c r="I20" s="10">
        <f t="shared" si="0"/>
        <v>4875530.6997194877</v>
      </c>
      <c r="J20" s="77">
        <f t="shared" si="1"/>
        <v>0.21150239283303238</v>
      </c>
      <c r="K20" s="2"/>
      <c r="L20" s="10">
        <f>INDEX('2017 SALES'!$B$8:$Q$42,MATCH($A20,'2017 SALES'!$B$8:$B$42,0),MATCH(L$12,'2017 SALES'!$B$8:$Q$8,0))</f>
        <v>25944232965</v>
      </c>
      <c r="M20" s="100">
        <f t="shared" si="4"/>
        <v>25944232.965</v>
      </c>
      <c r="N20" s="14">
        <v>0</v>
      </c>
      <c r="O20" s="14">
        <v>2.8800000000010002E-3</v>
      </c>
      <c r="P20" s="14">
        <v>0.99712000000000101</v>
      </c>
      <c r="Q20" s="14">
        <v>1.0170051802969728</v>
      </c>
      <c r="R20" s="14">
        <v>1.0266921244920639</v>
      </c>
      <c r="S20" s="14">
        <v>1.0486289832939273</v>
      </c>
      <c r="T20" s="10">
        <f t="shared" si="2"/>
        <v>27204235.527700003</v>
      </c>
      <c r="U20" s="10">
        <f t="shared" si="5"/>
        <v>3105506.3387785391</v>
      </c>
      <c r="V20" s="77">
        <f t="shared" si="3"/>
        <v>0.24079527262102282</v>
      </c>
      <c r="W20" s="76"/>
      <c r="X20" s="77">
        <f t="shared" si="6"/>
        <v>0.23028624528844738</v>
      </c>
      <c r="Y20"/>
      <c r="Z20" s="76"/>
    </row>
    <row r="21" spans="1:26" ht="18" customHeight="1" x14ac:dyDescent="0.2">
      <c r="A21" s="186" t="s">
        <v>172</v>
      </c>
      <c r="B21" s="101">
        <f>INDEX('2017 CP'!$B$8:$R$42,MATCH($A21,'2017 CP'!$B$8:$B$42,0),MATCH("AUG",'2017 CP'!$B$8:$R$8,0))</f>
        <v>1796240.7140385199</v>
      </c>
      <c r="C21" s="14">
        <v>0</v>
      </c>
      <c r="D21" s="14">
        <v>3.9350000000001002E-2</v>
      </c>
      <c r="E21" s="14">
        <v>0.960650000000001</v>
      </c>
      <c r="F21" s="14">
        <v>1.0218365995754572</v>
      </c>
      <c r="G21" s="14">
        <v>1.0348230509591971</v>
      </c>
      <c r="H21" s="14">
        <v>1.0644101236847672</v>
      </c>
      <c r="I21" s="10">
        <f t="shared" si="0"/>
        <v>1909845.5249898192</v>
      </c>
      <c r="J21" s="77">
        <f t="shared" si="1"/>
        <v>8.2849831814215846E-2</v>
      </c>
      <c r="K21" s="2"/>
      <c r="L21" s="10">
        <f>INDEX('2017 SALES'!$B$8:$Q$42,MATCH($A21,'2017 SALES'!$B$8:$B$42,0),MATCH(L$12,'2017 SALES'!$B$8:$Q$8,0))</f>
        <v>10554686882</v>
      </c>
      <c r="M21" s="100">
        <f t="shared" si="4"/>
        <v>10554686.881999999</v>
      </c>
      <c r="N21" s="14">
        <v>0</v>
      </c>
      <c r="O21" s="14">
        <v>3.9350000000001002E-2</v>
      </c>
      <c r="P21" s="14">
        <v>0.960650000000001</v>
      </c>
      <c r="Q21" s="14">
        <v>1.0170051802969728</v>
      </c>
      <c r="R21" s="14">
        <v>1.0266921244920639</v>
      </c>
      <c r="S21" s="14">
        <v>1.0486289832939273</v>
      </c>
      <c r="T21" s="10">
        <f t="shared" si="2"/>
        <v>11058839.605863588</v>
      </c>
      <c r="U21" s="10">
        <f t="shared" si="5"/>
        <v>1262424.6125415054</v>
      </c>
      <c r="V21" s="77">
        <f t="shared" si="3"/>
        <v>9.7886091857080207E-2</v>
      </c>
      <c r="W21" s="76"/>
      <c r="X21" s="77">
        <f t="shared" si="6"/>
        <v>9.2491727461574191E-2</v>
      </c>
      <c r="Y21"/>
      <c r="Z21" s="76"/>
    </row>
    <row r="22" spans="1:26" ht="18" customHeight="1" x14ac:dyDescent="0.2">
      <c r="A22" s="186" t="s">
        <v>174</v>
      </c>
      <c r="B22" s="101">
        <f>INDEX('2017 CP'!$B$8:$R$42,MATCH($A22,'2017 CP'!$B$8:$B$42,0),MATCH("AUG",'2017 CP'!$B$8:$R$8,0))</f>
        <v>348213.09332111198</v>
      </c>
      <c r="C22" s="14">
        <v>0</v>
      </c>
      <c r="D22" s="14">
        <v>0.325210000000001</v>
      </c>
      <c r="E22" s="14">
        <v>0.674790000000001</v>
      </c>
      <c r="F22" s="14">
        <v>1.0218365995754572</v>
      </c>
      <c r="G22" s="14">
        <v>1.0348230509591971</v>
      </c>
      <c r="H22" s="14">
        <v>1.0644101236847672</v>
      </c>
      <c r="I22" s="10">
        <f t="shared" si="0"/>
        <v>367291.0311955681</v>
      </c>
      <c r="J22" s="77">
        <f t="shared" si="1"/>
        <v>1.593322588830054E-2</v>
      </c>
      <c r="K22" s="2"/>
      <c r="L22" s="10">
        <f>INDEX('2017 SALES'!$B$8:$Q$42,MATCH($A22,'2017 SALES'!$B$8:$B$42,0),MATCH(L$12,'2017 SALES'!$B$8:$Q$8,0))</f>
        <v>2526124898</v>
      </c>
      <c r="M22" s="100">
        <f t="shared" si="4"/>
        <v>2526124.898</v>
      </c>
      <c r="N22" s="14">
        <v>0</v>
      </c>
      <c r="O22" s="14">
        <v>0.325210000000001</v>
      </c>
      <c r="P22" s="14">
        <v>0.674790000000001</v>
      </c>
      <c r="Q22" s="14">
        <v>1.0170051802969728</v>
      </c>
      <c r="R22" s="14">
        <v>1.0266921244920639</v>
      </c>
      <c r="S22" s="14">
        <v>1.0486289832939273</v>
      </c>
      <c r="T22" s="10">
        <f t="shared" si="2"/>
        <v>2630946.1915706568</v>
      </c>
      <c r="U22" s="10">
        <f t="shared" si="5"/>
        <v>300336.32323865948</v>
      </c>
      <c r="V22" s="77">
        <f t="shared" si="3"/>
        <v>2.3287528326441428E-2</v>
      </c>
      <c r="W22" s="76"/>
      <c r="X22" s="77">
        <f t="shared" si="6"/>
        <v>2.0649120430262683E-2</v>
      </c>
      <c r="Y22"/>
      <c r="Z22" s="76"/>
    </row>
    <row r="23" spans="1:26" ht="18" customHeight="1" x14ac:dyDescent="0.2">
      <c r="A23" s="186" t="s">
        <v>175</v>
      </c>
      <c r="B23" s="101">
        <f>INDEX('2017 CP'!$B$8:$R$42,MATCH($A23,'2017 CP'!$B$8:$B$42,0),MATCH("AUG",'2017 CP'!$B$8:$R$8,0))</f>
        <v>25511.756068010702</v>
      </c>
      <c r="C23" s="14">
        <v>1.0000000000000011</v>
      </c>
      <c r="D23" s="14">
        <v>0</v>
      </c>
      <c r="E23" s="14">
        <v>0</v>
      </c>
      <c r="F23" s="14">
        <v>1.0218365995754572</v>
      </c>
      <c r="G23" s="14">
        <v>1.0348230509591971</v>
      </c>
      <c r="H23" s="14">
        <v>1.0644101236847672</v>
      </c>
      <c r="I23" s="10">
        <f t="shared" si="0"/>
        <v>26068.846069734624</v>
      </c>
      <c r="J23" s="77">
        <f t="shared" si="1"/>
        <v>1.1308765469289505E-3</v>
      </c>
      <c r="K23" s="2"/>
      <c r="L23" s="10">
        <f>INDEX('2017 SALES'!$B$8:$Q$42,MATCH($A23,'2017 SALES'!$B$8:$B$42,0),MATCH(L$12,'2017 SALES'!$B$8:$Q$8,0))</f>
        <v>173041714</v>
      </c>
      <c r="M23" s="100">
        <f t="shared" si="4"/>
        <v>173041.71400000001</v>
      </c>
      <c r="N23" s="14">
        <v>1.0000000000000011</v>
      </c>
      <c r="O23" s="14">
        <v>0</v>
      </c>
      <c r="P23" s="14">
        <v>0</v>
      </c>
      <c r="Q23" s="14">
        <v>1.0170051802969728</v>
      </c>
      <c r="R23" s="14">
        <v>1.0266921244920639</v>
      </c>
      <c r="S23" s="14">
        <v>1.0486289832939273</v>
      </c>
      <c r="T23" s="10">
        <f t="shared" si="2"/>
        <v>175984.31954546741</v>
      </c>
      <c r="U23" s="10">
        <f t="shared" si="5"/>
        <v>20089.534194688062</v>
      </c>
      <c r="V23" s="77">
        <f t="shared" si="3"/>
        <v>1.5577056800154363E-3</v>
      </c>
      <c r="W23" s="76"/>
      <c r="X23" s="77">
        <f t="shared" si="6"/>
        <v>1.4045777165509375E-3</v>
      </c>
      <c r="Y23"/>
      <c r="Z23" s="76"/>
    </row>
    <row r="24" spans="1:26" ht="18" customHeight="1" x14ac:dyDescent="0.2">
      <c r="A24" s="186" t="s">
        <v>20</v>
      </c>
      <c r="B24" s="101">
        <f>INDEX('2017 CP'!$B$8:$R$42,MATCH($A24,'2017 CP'!$B$8:$B$42,0),MATCH("AUG",'2017 CP'!$B$8:$R$8,0))</f>
        <v>16326.2422952164</v>
      </c>
      <c r="C24" s="14">
        <v>0</v>
      </c>
      <c r="D24" s="14">
        <v>1.0000000000000011</v>
      </c>
      <c r="E24" s="14">
        <v>0</v>
      </c>
      <c r="F24" s="14">
        <v>1.0218365995754572</v>
      </c>
      <c r="G24" s="14">
        <v>1.0348230509591971</v>
      </c>
      <c r="H24" s="14">
        <v>1.0644101236847672</v>
      </c>
      <c r="I24" s="10">
        <f t="shared" si="0"/>
        <v>16894.771862634938</v>
      </c>
      <c r="J24" s="77">
        <f t="shared" si="1"/>
        <v>7.3290168709655846E-4</v>
      </c>
      <c r="K24" s="2"/>
      <c r="L24" s="10">
        <f>INDEX('2017 SALES'!$B$8:$Q$42,MATCH($A24,'2017 SALES'!$B$8:$B$42,0),MATCH(L$12,'2017 SALES'!$B$8:$Q$8,0))</f>
        <v>91208296</v>
      </c>
      <c r="M24" s="100">
        <f t="shared" si="4"/>
        <v>91208.296000000002</v>
      </c>
      <c r="N24" s="14">
        <v>0</v>
      </c>
      <c r="O24" s="14">
        <v>1.0000000000000011</v>
      </c>
      <c r="P24" s="14">
        <v>0</v>
      </c>
      <c r="Q24" s="14">
        <v>1.0170051802969728</v>
      </c>
      <c r="R24" s="14">
        <v>1.0266921244920639</v>
      </c>
      <c r="S24" s="14">
        <v>1.0486289832939273</v>
      </c>
      <c r="T24" s="10">
        <f t="shared" si="2"/>
        <v>93642.839191541119</v>
      </c>
      <c r="U24" s="10">
        <f t="shared" si="5"/>
        <v>10689.821825518393</v>
      </c>
      <c r="V24" s="77">
        <f t="shared" si="3"/>
        <v>8.2886920197312896E-4</v>
      </c>
      <c r="W24" s="76"/>
      <c r="X24" s="77">
        <f t="shared" si="6"/>
        <v>7.944401788051611E-4</v>
      </c>
      <c r="Y24"/>
      <c r="Z24" s="76"/>
    </row>
    <row r="25" spans="1:26" ht="18" customHeight="1" x14ac:dyDescent="0.2">
      <c r="A25" s="186" t="s">
        <v>21</v>
      </c>
      <c r="B25" s="101">
        <f>INDEX('2017 CP'!$B$8:$R$42,MATCH($A25,'2017 CP'!$B$8:$B$42,0),MATCH("AUG",'2017 CP'!$B$8:$R$8,0))</f>
        <v>0</v>
      </c>
      <c r="C25" s="14">
        <v>0</v>
      </c>
      <c r="D25" s="14">
        <v>0</v>
      </c>
      <c r="E25" s="14">
        <v>1.0000000000000011</v>
      </c>
      <c r="F25" s="14">
        <v>1.0218365995754572</v>
      </c>
      <c r="G25" s="14">
        <v>1.0348230509591971</v>
      </c>
      <c r="H25" s="14">
        <v>1.0644101236847672</v>
      </c>
      <c r="I25" s="10">
        <f t="shared" si="0"/>
        <v>0</v>
      </c>
      <c r="J25" s="77">
        <f t="shared" si="1"/>
        <v>0</v>
      </c>
      <c r="K25" s="2"/>
      <c r="L25" s="10">
        <f>INDEX('2017 SALES'!$B$8:$Q$42,MATCH($A25,'2017 SALES'!$B$8:$B$42,0),MATCH(L$12,'2017 SALES'!$B$8:$Q$8,0))</f>
        <v>97899984</v>
      </c>
      <c r="M25" s="100">
        <f t="shared" si="4"/>
        <v>97899.983999999997</v>
      </c>
      <c r="N25" s="14">
        <v>0</v>
      </c>
      <c r="O25" s="14">
        <v>0</v>
      </c>
      <c r="P25" s="14">
        <v>1.0000000000000011</v>
      </c>
      <c r="Q25" s="14">
        <v>1.0170051802969728</v>
      </c>
      <c r="R25" s="14">
        <v>1.0266921244920639</v>
      </c>
      <c r="S25" s="14">
        <v>1.0486289832939273</v>
      </c>
      <c r="T25" s="10">
        <f t="shared" si="2"/>
        <v>102660.76068641186</v>
      </c>
      <c r="U25" s="10">
        <f t="shared" si="5"/>
        <v>11719.264918540166</v>
      </c>
      <c r="V25" s="77">
        <f t="shared" si="3"/>
        <v>9.0869033359880307E-4</v>
      </c>
      <c r="W25" s="76"/>
      <c r="X25" s="77">
        <f t="shared" si="6"/>
        <v>5.8269126414056509E-4</v>
      </c>
      <c r="Y25"/>
      <c r="Z25" s="76"/>
    </row>
    <row r="26" spans="1:26" ht="18" customHeight="1" x14ac:dyDescent="0.2">
      <c r="A26" s="186" t="s">
        <v>22</v>
      </c>
      <c r="B26" s="101">
        <f>INDEX('2017 CP'!$B$8:$R$42,MATCH($A26,'2017 CP'!$B$8:$B$42,0),MATCH("AUG",'2017 CP'!$B$8:$R$8,0))</f>
        <v>952.98266719440198</v>
      </c>
      <c r="C26" s="14">
        <v>0</v>
      </c>
      <c r="D26" s="14">
        <v>1.0000000000000011</v>
      </c>
      <c r="E26" s="14">
        <v>0</v>
      </c>
      <c r="F26" s="14">
        <v>1.0218365995754572</v>
      </c>
      <c r="G26" s="14">
        <v>1.0348230509591971</v>
      </c>
      <c r="H26" s="14">
        <v>1.0644101236847672</v>
      </c>
      <c r="I26" s="10">
        <f t="shared" si="0"/>
        <v>986.16843117734527</v>
      </c>
      <c r="J26" s="77">
        <f t="shared" si="1"/>
        <v>4.2780365005681645E-5</v>
      </c>
      <c r="K26" s="2"/>
      <c r="L26" s="10">
        <f>INDEX('2017 SALES'!$B$8:$Q$42,MATCH($A26,'2017 SALES'!$B$8:$B$42,0),MATCH(L$12,'2017 SALES'!$B$8:$Q$8,0))</f>
        <v>10793313</v>
      </c>
      <c r="M26" s="100">
        <f t="shared" si="4"/>
        <v>10793.313</v>
      </c>
      <c r="N26" s="14">
        <v>0</v>
      </c>
      <c r="O26" s="14">
        <v>0.25134000000000101</v>
      </c>
      <c r="P26" s="14">
        <v>0.74866000000000099</v>
      </c>
      <c r="Q26" s="14">
        <v>1.0170051802969728</v>
      </c>
      <c r="R26" s="14">
        <v>1.0266921244920639</v>
      </c>
      <c r="S26" s="14">
        <v>1.0486289832939273</v>
      </c>
      <c r="T26" s="10">
        <f t="shared" si="2"/>
        <v>11258.670718088219</v>
      </c>
      <c r="U26" s="10">
        <f t="shared" si="5"/>
        <v>1285.236383343404</v>
      </c>
      <c r="V26" s="77">
        <f t="shared" si="3"/>
        <v>9.9654874776831679E-5</v>
      </c>
      <c r="W26" s="76"/>
      <c r="X26" s="77">
        <f t="shared" si="6"/>
        <v>7.9250743054798357E-5</v>
      </c>
      <c r="Y26"/>
      <c r="Z26" s="76"/>
    </row>
    <row r="27" spans="1:26" ht="18" customHeight="1" x14ac:dyDescent="0.2">
      <c r="A27" s="186" t="s">
        <v>169</v>
      </c>
      <c r="B27" s="101">
        <f>INDEX('2017 CP'!$B$8:$R$42,MATCH($A27,'2017 CP'!$B$8:$B$42,0),MATCH("AUG",'2017 CP'!$B$8:$R$8,0))</f>
        <v>13003637.990172099</v>
      </c>
      <c r="C27" s="14">
        <v>0</v>
      </c>
      <c r="D27" s="14">
        <v>0</v>
      </c>
      <c r="E27" s="14">
        <v>1.0000000000000011</v>
      </c>
      <c r="F27" s="14">
        <v>1.0218365995754572</v>
      </c>
      <c r="G27" s="14">
        <v>1.0348230509591971</v>
      </c>
      <c r="H27" s="14">
        <v>1.0644101236847672</v>
      </c>
      <c r="I27" s="10">
        <f t="shared" si="0"/>
        <v>13841203.921471037</v>
      </c>
      <c r="J27" s="77">
        <f t="shared" si="1"/>
        <v>0.60043673794311359</v>
      </c>
      <c r="K27" s="2"/>
      <c r="L27" s="10">
        <f>INDEX('2017 SALES'!$B$8:$Q$42,MATCH($A27,'2017 SALES'!$B$8:$B$42,0),MATCH(L$12,'2017 SALES'!$B$8:$Q$8,0))</f>
        <v>57375392961</v>
      </c>
      <c r="M27" s="100">
        <f t="shared" si="4"/>
        <v>57375392.961000003</v>
      </c>
      <c r="N27" s="14">
        <v>0</v>
      </c>
      <c r="O27" s="14">
        <v>0</v>
      </c>
      <c r="P27" s="14">
        <v>1.0000000000000011</v>
      </c>
      <c r="Q27" s="14">
        <v>1.0170051802969728</v>
      </c>
      <c r="R27" s="14">
        <v>1.0266921244920639</v>
      </c>
      <c r="S27" s="14">
        <v>1.0486289832939273</v>
      </c>
      <c r="T27" s="10">
        <f t="shared" si="2"/>
        <v>60165499.986783057</v>
      </c>
      <c r="U27" s="10">
        <f t="shared" si="5"/>
        <v>6868207.7610482937</v>
      </c>
      <c r="V27" s="77">
        <f t="shared" si="3"/>
        <v>0.53254824811915713</v>
      </c>
      <c r="W27" s="76"/>
      <c r="X27" s="77">
        <f t="shared" si="6"/>
        <v>0.55690372290657386</v>
      </c>
      <c r="Y27"/>
      <c r="Z27" s="76"/>
    </row>
    <row r="28" spans="1:26" ht="18" customHeight="1" x14ac:dyDescent="0.2">
      <c r="A28" s="186" t="s">
        <v>27</v>
      </c>
      <c r="B28" s="101">
        <f>INDEX('2017 CP'!$B$8:$R$42,MATCH($A28,'2017 CP'!$B$8:$B$42,0),MATCH("AUG",'2017 CP'!$B$8:$R$8,0))</f>
        <v>0</v>
      </c>
      <c r="C28" s="14">
        <v>0</v>
      </c>
      <c r="D28" s="14">
        <v>0</v>
      </c>
      <c r="E28" s="14">
        <v>1.0000000000000011</v>
      </c>
      <c r="F28" s="14">
        <v>1.0218365995754572</v>
      </c>
      <c r="G28" s="14">
        <v>1.0348230509591971</v>
      </c>
      <c r="H28" s="14">
        <v>1.0644101236847672</v>
      </c>
      <c r="I28" s="10">
        <f t="shared" si="0"/>
        <v>0</v>
      </c>
      <c r="J28" s="77">
        <f t="shared" si="1"/>
        <v>0</v>
      </c>
      <c r="K28" s="2"/>
      <c r="L28" s="10">
        <f>INDEX('2017 SALES'!$B$8:$Q$42,MATCH($A28,'2017 SALES'!$B$8:$B$42,0),MATCH(L$12,'2017 SALES'!$B$8:$Q$8,0))</f>
        <v>561284645</v>
      </c>
      <c r="M28" s="100">
        <f t="shared" si="4"/>
        <v>561284.64500000002</v>
      </c>
      <c r="N28" s="14">
        <v>0</v>
      </c>
      <c r="O28" s="14">
        <v>0</v>
      </c>
      <c r="P28" s="14">
        <v>1.0000000000000011</v>
      </c>
      <c r="Q28" s="14">
        <v>1.0170051802969728</v>
      </c>
      <c r="R28" s="14">
        <v>1.0266921244920639</v>
      </c>
      <c r="S28" s="14">
        <v>1.0486289832939273</v>
      </c>
      <c r="T28" s="10">
        <f t="shared" si="2"/>
        <v>588579.34662484354</v>
      </c>
      <c r="U28" s="10">
        <f t="shared" si="5"/>
        <v>67189.423130689902</v>
      </c>
      <c r="V28" s="77">
        <f t="shared" si="3"/>
        <v>5.2097447871792884E-3</v>
      </c>
      <c r="W28" s="76"/>
      <c r="X28" s="77">
        <f t="shared" si="6"/>
        <v>3.3407120816050214E-3</v>
      </c>
      <c r="Y28"/>
      <c r="Z28" s="76"/>
    </row>
    <row r="29" spans="1:26" ht="18" customHeight="1" x14ac:dyDescent="0.2">
      <c r="A29" s="186" t="s">
        <v>28</v>
      </c>
      <c r="B29" s="101">
        <f>INDEX('2017 CP'!$B$8:$R$42,MATCH($A29,'2017 CP'!$B$8:$B$42,0),MATCH("AUG",'2017 CP'!$B$8:$R$8,0))</f>
        <v>4015.67388457793</v>
      </c>
      <c r="C29" s="14">
        <v>0</v>
      </c>
      <c r="D29" s="14">
        <v>0</v>
      </c>
      <c r="E29" s="14">
        <v>1.0000000000000011</v>
      </c>
      <c r="F29" s="14">
        <v>1.0218365995754572</v>
      </c>
      <c r="G29" s="14">
        <v>1.0348230509591971</v>
      </c>
      <c r="H29" s="14">
        <v>1.0644101236847672</v>
      </c>
      <c r="I29" s="10">
        <f t="shared" si="0"/>
        <v>4274.3239361612887</v>
      </c>
      <c r="J29" s="77">
        <f t="shared" si="1"/>
        <v>1.8542181270515457E-4</v>
      </c>
      <c r="K29" s="2"/>
      <c r="L29" s="10">
        <f>INDEX('2017 SALES'!$B$8:$Q$42,MATCH($A29,'2017 SALES'!$B$8:$B$42,0),MATCH(L$12,'2017 SALES'!$B$8:$Q$8,0))</f>
        <v>32762626</v>
      </c>
      <c r="M29" s="100">
        <f t="shared" si="4"/>
        <v>32762.626</v>
      </c>
      <c r="N29" s="14">
        <v>0</v>
      </c>
      <c r="O29" s="14">
        <v>0</v>
      </c>
      <c r="P29" s="14">
        <v>1.0000000000000011</v>
      </c>
      <c r="Q29" s="14">
        <v>1.0170051802969728</v>
      </c>
      <c r="R29" s="14">
        <v>1.0266921244920639</v>
      </c>
      <c r="S29" s="14">
        <v>1.0486289832939273</v>
      </c>
      <c r="T29" s="10">
        <f t="shared" si="2"/>
        <v>34355.839192419226</v>
      </c>
      <c r="U29" s="10">
        <f t="shared" si="5"/>
        <v>3921.8994511894093</v>
      </c>
      <c r="V29" s="77">
        <f t="shared" si="3"/>
        <v>3.0409689903026767E-4</v>
      </c>
      <c r="W29" s="76"/>
      <c r="X29" s="77">
        <f t="shared" si="6"/>
        <v>2.6152137436650017E-4</v>
      </c>
      <c r="Y29"/>
      <c r="Z29" s="76"/>
    </row>
    <row r="30" spans="1:26" ht="18" customHeight="1" x14ac:dyDescent="0.2">
      <c r="A30" s="186" t="s">
        <v>29</v>
      </c>
      <c r="B30" s="101">
        <f>INDEX('2017 CP'!$B$8:$R$42,MATCH($A30,'2017 CP'!$B$8:$B$42,0),MATCH("AUG",'2017 CP'!$B$8:$R$8,0))</f>
        <v>1696.8208128268</v>
      </c>
      <c r="C30" s="14">
        <v>0</v>
      </c>
      <c r="D30" s="14">
        <v>1.0000000000000011</v>
      </c>
      <c r="E30" s="14">
        <v>0</v>
      </c>
      <c r="F30" s="14">
        <v>1.0218365995754572</v>
      </c>
      <c r="G30" s="14">
        <v>1.0348230509591971</v>
      </c>
      <c r="H30" s="14">
        <v>1.0644101236847672</v>
      </c>
      <c r="I30" s="10">
        <f t="shared" si="0"/>
        <v>1755.9092904604959</v>
      </c>
      <c r="J30" s="77">
        <f t="shared" si="1"/>
        <v>7.6172018884326613E-5</v>
      </c>
      <c r="K30" s="2"/>
      <c r="L30" s="10">
        <f>INDEX('2017 SALES'!$B$8:$Q$42,MATCH($A30,'2017 SALES'!$B$8:$B$42,0),MATCH(L$12,'2017 SALES'!$B$8:$Q$8,0))</f>
        <v>11856926</v>
      </c>
      <c r="M30" s="100">
        <f t="shared" si="4"/>
        <v>11856.925999999999</v>
      </c>
      <c r="N30" s="14">
        <v>0</v>
      </c>
      <c r="O30" s="14">
        <v>1.0000000000000011</v>
      </c>
      <c r="P30" s="14">
        <v>0</v>
      </c>
      <c r="Q30" s="14">
        <v>1.0170051802969728</v>
      </c>
      <c r="R30" s="14">
        <v>1.0266921244920639</v>
      </c>
      <c r="S30" s="14">
        <v>1.0486289832939273</v>
      </c>
      <c r="T30" s="10">
        <f t="shared" si="2"/>
        <v>12173.412544885203</v>
      </c>
      <c r="U30" s="10">
        <f t="shared" si="5"/>
        <v>1389.6589663110963</v>
      </c>
      <c r="V30" s="77">
        <f t="shared" si="3"/>
        <v>1.0775161057141605E-4</v>
      </c>
      <c r="W30" s="76"/>
      <c r="X30" s="77">
        <f t="shared" si="6"/>
        <v>9.6422209208588759E-5</v>
      </c>
      <c r="Y30"/>
      <c r="Z30" s="76"/>
    </row>
    <row r="31" spans="1:26" ht="18" customHeight="1" x14ac:dyDescent="0.2">
      <c r="A31" s="186" t="s">
        <v>30</v>
      </c>
      <c r="B31" s="101">
        <f>INDEX('2017 CP'!$B$8:$R$42,MATCH($A31,'2017 CP'!$B$8:$B$42,0),MATCH("AUG",'2017 CP'!$B$8:$R$8,0))</f>
        <v>6093.2585800730103</v>
      </c>
      <c r="C31" s="14">
        <v>1.0000000000000011</v>
      </c>
      <c r="D31" s="14">
        <v>0</v>
      </c>
      <c r="E31" s="14">
        <v>0</v>
      </c>
      <c r="F31" s="14">
        <v>1.0218365995754572</v>
      </c>
      <c r="G31" s="14">
        <v>1.0348230509591971</v>
      </c>
      <c r="H31" s="14">
        <v>1.0644101236847672</v>
      </c>
      <c r="I31" s="10">
        <f t="shared" si="0"/>
        <v>6226.3146277957903</v>
      </c>
      <c r="J31" s="77">
        <f t="shared" si="1"/>
        <v>2.7009991802243952E-4</v>
      </c>
      <c r="K31" s="2"/>
      <c r="L31" s="10">
        <f>INDEX('2017 SALES'!$B$8:$Q$42,MATCH($A31,'2017 SALES'!$B$8:$B$42,0),MATCH(L$12,'2017 SALES'!$B$8:$Q$8,0))</f>
        <v>89667754</v>
      </c>
      <c r="M31" s="100">
        <f t="shared" si="4"/>
        <v>89667.754000000001</v>
      </c>
      <c r="N31" s="14">
        <v>1.0000000000000011</v>
      </c>
      <c r="O31" s="14">
        <v>0</v>
      </c>
      <c r="P31" s="14">
        <v>0</v>
      </c>
      <c r="Q31" s="14">
        <v>1.0170051802969728</v>
      </c>
      <c r="R31" s="14">
        <v>1.0266921244920639</v>
      </c>
      <c r="S31" s="14">
        <v>1.0486289832939273</v>
      </c>
      <c r="T31" s="10">
        <f t="shared" si="2"/>
        <v>91192.570323594715</v>
      </c>
      <c r="U31" s="10">
        <f t="shared" si="5"/>
        <v>10410.110767533643</v>
      </c>
      <c r="V31" s="77">
        <f t="shared" si="3"/>
        <v>8.0718091893164476E-4</v>
      </c>
      <c r="W31" s="76"/>
      <c r="X31" s="77">
        <f t="shared" si="6"/>
        <v>6.1449931988053917E-4</v>
      </c>
      <c r="Y31"/>
      <c r="Z31" s="76"/>
    </row>
    <row r="32" spans="1:26" ht="18" customHeight="1" x14ac:dyDescent="0.2">
      <c r="B32" s="87"/>
      <c r="C32" s="14"/>
      <c r="D32" s="14"/>
      <c r="E32" s="14"/>
      <c r="F32" s="14"/>
      <c r="G32" s="14"/>
      <c r="H32" s="14"/>
      <c r="I32" s="10"/>
      <c r="J32" s="77"/>
      <c r="K32" s="2"/>
      <c r="L32" s="10"/>
      <c r="M32" s="10"/>
      <c r="N32" s="14"/>
      <c r="O32" s="14"/>
      <c r="P32" s="14"/>
      <c r="Q32" s="14"/>
      <c r="R32" s="14"/>
      <c r="S32" s="14"/>
      <c r="T32" s="10"/>
      <c r="U32" s="10"/>
      <c r="V32" s="77"/>
      <c r="W32" s="76"/>
      <c r="X32" s="77"/>
      <c r="Y32"/>
      <c r="Z32" s="76"/>
    </row>
    <row r="33" spans="1:26" ht="18" customHeight="1" x14ac:dyDescent="0.2">
      <c r="B33" s="3"/>
      <c r="C33" s="14"/>
      <c r="D33" s="14"/>
      <c r="E33" s="14"/>
      <c r="F33" s="14"/>
      <c r="G33" s="14"/>
      <c r="H33" s="14"/>
      <c r="J33" s="77"/>
      <c r="K33" s="2"/>
      <c r="N33" s="14"/>
      <c r="O33" s="14"/>
      <c r="P33" s="14"/>
      <c r="Q33" s="14"/>
      <c r="R33" s="14"/>
      <c r="S33" s="14"/>
      <c r="T33" s="3"/>
      <c r="U33" s="3"/>
      <c r="V33" s="77"/>
      <c r="W33" s="76"/>
      <c r="X33" s="77"/>
      <c r="Y33"/>
      <c r="Z33" s="76"/>
    </row>
    <row r="34" spans="1:26" ht="18" customHeight="1" thickBot="1" x14ac:dyDescent="0.25">
      <c r="A34" s="2" t="s">
        <v>173</v>
      </c>
      <c r="B34" s="13">
        <f>SUM(B15:B33)</f>
        <v>21676045.594520073</v>
      </c>
      <c r="C34" s="14"/>
      <c r="D34" s="14"/>
      <c r="E34" s="14"/>
      <c r="F34" s="14"/>
      <c r="G34" s="14"/>
      <c r="H34" s="14"/>
      <c r="I34" s="13">
        <f>SUM(I15:I33)</f>
        <v>23051893.807974115</v>
      </c>
      <c r="J34" s="78">
        <f>SUM(J15:J33)</f>
        <v>1</v>
      </c>
      <c r="K34" s="2"/>
      <c r="L34" s="13">
        <f>SUM(L15:L33)</f>
        <v>107842681173</v>
      </c>
      <c r="M34" s="13">
        <f>SUM(M15:M33)</f>
        <v>107842681.17299999</v>
      </c>
      <c r="N34" s="14"/>
      <c r="O34" s="14"/>
      <c r="P34" s="14"/>
      <c r="Q34" s="14"/>
      <c r="R34" s="14"/>
      <c r="S34" s="14"/>
      <c r="T34" s="13">
        <f>SUM(T15:T33)</f>
        <v>112976617.98583381</v>
      </c>
      <c r="U34" s="13">
        <f>SUM(U15:U33)</f>
        <v>12896874.199296094</v>
      </c>
      <c r="V34" s="78">
        <f>SUM(V15:V33)</f>
        <v>0.99999999999999989</v>
      </c>
      <c r="W34" s="76"/>
      <c r="X34" s="78">
        <f>SUM(X15:X33)</f>
        <v>1</v>
      </c>
      <c r="Y34"/>
      <c r="Z34" s="76"/>
    </row>
    <row r="35" spans="1:26" ht="15" customHeight="1" thickTop="1" x14ac:dyDescent="0.2">
      <c r="E35" s="14"/>
      <c r="F35" s="14"/>
      <c r="H35" s="14"/>
      <c r="I35" s="14"/>
      <c r="J35" s="14"/>
      <c r="K35" s="14"/>
      <c r="Q35" s="15"/>
      <c r="X35"/>
      <c r="Y35"/>
    </row>
    <row r="36" spans="1:26" ht="15" customHeight="1" x14ac:dyDescent="0.2">
      <c r="A36" s="16"/>
      <c r="U36" s="10"/>
    </row>
    <row r="37" spans="1:26" ht="15" customHeight="1" x14ac:dyDescent="0.2">
      <c r="A37" s="16" t="s">
        <v>177</v>
      </c>
      <c r="C37" s="2"/>
      <c r="H37" s="2"/>
      <c r="I37" s="2"/>
      <c r="J37" s="2"/>
    </row>
    <row r="38" spans="1:26" ht="15" customHeight="1" x14ac:dyDescent="0.2">
      <c r="A38" s="18" t="s">
        <v>221</v>
      </c>
      <c r="C38" s="2"/>
      <c r="H38" s="2"/>
      <c r="I38" s="2"/>
      <c r="J38" s="2"/>
      <c r="U38" s="93"/>
    </row>
    <row r="39" spans="1:26" ht="15" customHeight="1" x14ac:dyDescent="0.2">
      <c r="A39" s="18" t="s">
        <v>356</v>
      </c>
      <c r="C39" s="2"/>
      <c r="H39" s="2"/>
      <c r="I39" s="2"/>
      <c r="J39" s="2"/>
    </row>
    <row r="40" spans="1:26" ht="15" customHeight="1" x14ac:dyDescent="0.2">
      <c r="A40" s="18" t="s">
        <v>194</v>
      </c>
      <c r="C40" s="2"/>
      <c r="H40" s="2"/>
      <c r="I40" s="2"/>
      <c r="J40" s="2"/>
    </row>
    <row r="41" spans="1:26" ht="15" customHeight="1" x14ac:dyDescent="0.2">
      <c r="A41" s="18" t="s">
        <v>178</v>
      </c>
      <c r="C41" s="2"/>
      <c r="H41" s="2"/>
      <c r="I41" s="2"/>
      <c r="J41" s="2"/>
    </row>
    <row r="42" spans="1:26" ht="15" customHeight="1" x14ac:dyDescent="0.2">
      <c r="A42" s="19" t="s">
        <v>176</v>
      </c>
      <c r="C42" s="2"/>
      <c r="H42" s="2"/>
      <c r="I42" s="2"/>
      <c r="J42" s="2"/>
    </row>
    <row r="43" spans="1:26" ht="15" customHeight="1" x14ac:dyDescent="0.2">
      <c r="A43" s="18"/>
      <c r="C43" s="2"/>
      <c r="H43" s="2"/>
      <c r="I43" s="2"/>
      <c r="J43" s="2"/>
    </row>
    <row r="44" spans="1:26" ht="15" customHeight="1" x14ac:dyDescent="0.2">
      <c r="A44" s="19"/>
      <c r="C44" s="2"/>
      <c r="H44" s="2"/>
      <c r="I44" s="2"/>
      <c r="J44" s="2"/>
    </row>
    <row r="45" spans="1:26" ht="15" customHeight="1" x14ac:dyDescent="0.2">
      <c r="C45" s="2"/>
      <c r="H45" s="2"/>
      <c r="I45" s="2"/>
      <c r="J45" s="2"/>
    </row>
    <row r="46" spans="1:26" ht="15" customHeight="1" x14ac:dyDescent="0.2">
      <c r="B46" s="216" t="s">
        <v>337</v>
      </c>
      <c r="C46" s="2"/>
      <c r="D46" s="217" t="s">
        <v>337</v>
      </c>
      <c r="F46" s="217"/>
      <c r="G46" s="219" t="s">
        <v>217</v>
      </c>
      <c r="H46" s="217"/>
      <c r="I46" s="217"/>
      <c r="J46" s="218" t="s">
        <v>353</v>
      </c>
      <c r="K46" s="218"/>
      <c r="L46" s="218" t="s">
        <v>353</v>
      </c>
      <c r="M46" s="219" t="s">
        <v>357</v>
      </c>
    </row>
    <row r="47" spans="1:26" ht="15" customHeight="1" x14ac:dyDescent="0.2">
      <c r="A47" s="2" t="s">
        <v>349</v>
      </c>
      <c r="B47" s="15">
        <f>I34</f>
        <v>23051893.807974115</v>
      </c>
      <c r="C47" s="2" t="s">
        <v>350</v>
      </c>
      <c r="D47" s="244">
        <f>I34</f>
        <v>23051893.807974115</v>
      </c>
      <c r="E47" s="245"/>
      <c r="F47" s="2" t="s">
        <v>351</v>
      </c>
      <c r="G47" s="244">
        <f>U34</f>
        <v>12896874.199296094</v>
      </c>
      <c r="H47" s="245"/>
      <c r="I47" s="218" t="s">
        <v>352</v>
      </c>
      <c r="J47" s="220">
        <f>B47/(D47+G47)</f>
        <v>0.64124294338298726</v>
      </c>
      <c r="K47" s="220"/>
      <c r="L47" s="220"/>
      <c r="M47" s="220">
        <f>1-J47</f>
        <v>0.35875705661701274</v>
      </c>
    </row>
  </sheetData>
  <mergeCells count="10">
    <mergeCell ref="D47:E47"/>
    <mergeCell ref="G47:H47"/>
    <mergeCell ref="A4:AA4"/>
    <mergeCell ref="A5:AA5"/>
    <mergeCell ref="B11:J11"/>
    <mergeCell ref="M11:V11"/>
    <mergeCell ref="C12:E12"/>
    <mergeCell ref="F12:H12"/>
    <mergeCell ref="N12:P12"/>
    <mergeCell ref="Q12:S12"/>
  </mergeCells>
  <printOptions horizontalCentered="1"/>
  <pageMargins left="0.5" right="0.5" top="0.75" bottom="0.5" header="0" footer="0"/>
  <pageSetup scale="75" pageOrder="overThenDown" orientation="landscape" cellComments="asDisplayed" r:id="rId1"/>
  <headerFooter alignWithMargins="0">
    <oddFooter>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AA47"/>
  <sheetViews>
    <sheetView showGridLines="0" defaultGridColor="0" colorId="8" zoomScale="75" zoomScaleNormal="75" zoomScaleSheetLayoutView="75" workbookViewId="0">
      <selection sqref="A1:A2"/>
    </sheetView>
  </sheetViews>
  <sheetFormatPr defaultColWidth="9.140625" defaultRowHeight="15" customHeight="1" x14ac:dyDescent="0.2"/>
  <cols>
    <col min="1" max="1" width="21" style="2" customWidth="1"/>
    <col min="2" max="2" width="11.7109375" style="2" customWidth="1"/>
    <col min="3" max="8" width="7.42578125" style="3" customWidth="1"/>
    <col min="9" max="9" width="11.85546875" style="3" customWidth="1"/>
    <col min="10" max="10" width="9.28515625" style="3" bestFit="1" customWidth="1"/>
    <col min="11" max="11" width="2.7109375" style="3" customWidth="1"/>
    <col min="12" max="12" width="12.7109375" style="3" hidden="1" customWidth="1"/>
    <col min="13" max="13" width="12.7109375" style="3" bestFit="1" customWidth="1"/>
    <col min="14" max="19" width="7.42578125" style="2" customWidth="1"/>
    <col min="20" max="20" width="12.7109375" style="2" bestFit="1" customWidth="1"/>
    <col min="21" max="21" width="16" style="2" bestFit="1" customWidth="1"/>
    <col min="22" max="22" width="9.28515625" style="2" bestFit="1" customWidth="1"/>
    <col min="23" max="23" width="2.7109375" style="2" customWidth="1"/>
    <col min="24" max="25" width="11.7109375" style="2" customWidth="1"/>
    <col min="26" max="26" width="2.7109375" style="2" customWidth="1"/>
    <col min="27" max="27" width="14.5703125" style="2" customWidth="1"/>
    <col min="28" max="16384" width="9.140625" style="2"/>
  </cols>
  <sheetData>
    <row r="1" spans="1:27" s="224" customFormat="1" ht="15" customHeight="1" x14ac:dyDescent="0.2">
      <c r="A1" s="224" t="s">
        <v>369</v>
      </c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</row>
    <row r="2" spans="1:27" s="224" customFormat="1" ht="15" customHeight="1" x14ac:dyDescent="0.2">
      <c r="A2" s="224" t="s">
        <v>364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</row>
    <row r="3" spans="1:27" s="224" customFormat="1" ht="15" customHeight="1" x14ac:dyDescent="0.2"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</row>
    <row r="4" spans="1:27" s="17" customFormat="1" ht="20.100000000000001" customHeight="1" x14ac:dyDescent="0.2">
      <c r="A4" s="229" t="s">
        <v>242</v>
      </c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29"/>
      <c r="AA4" s="229"/>
    </row>
    <row r="5" spans="1:27" s="17" customFormat="1" ht="20.100000000000001" customHeight="1" x14ac:dyDescent="0.2">
      <c r="A5" s="230" t="s">
        <v>346</v>
      </c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  <c r="Y5" s="230"/>
      <c r="Z5" s="230"/>
      <c r="AA5" s="230"/>
    </row>
    <row r="6" spans="1:27" ht="15" customHeight="1" x14ac:dyDescent="0.2">
      <c r="A6" s="11"/>
    </row>
    <row r="7" spans="1:27" ht="15" customHeight="1" x14ac:dyDescent="0.2">
      <c r="A7" s="16" t="s">
        <v>355</v>
      </c>
    </row>
    <row r="8" spans="1:27" ht="15" customHeight="1" x14ac:dyDescent="0.2">
      <c r="A8" s="79"/>
    </row>
    <row r="9" spans="1:27" ht="15" customHeight="1" x14ac:dyDescent="0.2">
      <c r="A9" s="16" t="s">
        <v>190</v>
      </c>
    </row>
    <row r="10" spans="1:27" ht="15" customHeight="1" thickBot="1" x14ac:dyDescent="0.25">
      <c r="C10" s="8"/>
      <c r="D10" s="8"/>
      <c r="E10" s="8"/>
      <c r="F10" s="2"/>
      <c r="G10" s="8"/>
      <c r="H10" s="9"/>
      <c r="I10" s="8"/>
      <c r="J10" s="8"/>
      <c r="K10" s="8"/>
      <c r="L10" s="8"/>
      <c r="M10" s="8"/>
    </row>
    <row r="11" spans="1:27" ht="18" customHeight="1" thickBot="1" x14ac:dyDescent="0.25">
      <c r="B11" s="237" t="s">
        <v>179</v>
      </c>
      <c r="C11" s="238"/>
      <c r="D11" s="238"/>
      <c r="E11" s="238"/>
      <c r="F11" s="238"/>
      <c r="G11" s="238"/>
      <c r="H11" s="238"/>
      <c r="I11" s="238"/>
      <c r="J11" s="239"/>
      <c r="K11" s="69"/>
      <c r="L11" s="69"/>
      <c r="M11" s="237" t="s">
        <v>217</v>
      </c>
      <c r="N11" s="238"/>
      <c r="O11" s="238"/>
      <c r="P11" s="238"/>
      <c r="Q11" s="238"/>
      <c r="R11" s="238"/>
      <c r="S11" s="238"/>
      <c r="T11" s="238"/>
      <c r="U11" s="238"/>
      <c r="V11" s="239"/>
      <c r="X11" s="83" t="s">
        <v>179</v>
      </c>
      <c r="Y11"/>
    </row>
    <row r="12" spans="1:27" s="12" customFormat="1" ht="18" customHeight="1" thickBot="1" x14ac:dyDescent="0.25">
      <c r="B12" s="70" t="s">
        <v>179</v>
      </c>
      <c r="C12" s="231" t="s">
        <v>195</v>
      </c>
      <c r="D12" s="232"/>
      <c r="E12" s="233"/>
      <c r="F12" s="234" t="s">
        <v>181</v>
      </c>
      <c r="G12" s="235"/>
      <c r="H12" s="236"/>
      <c r="I12" s="81" t="s">
        <v>179</v>
      </c>
      <c r="J12" s="85" t="s">
        <v>185</v>
      </c>
      <c r="K12" s="71"/>
      <c r="L12" s="70" t="s">
        <v>243</v>
      </c>
      <c r="M12" s="70" t="s">
        <v>108</v>
      </c>
      <c r="N12" s="231" t="s">
        <v>195</v>
      </c>
      <c r="O12" s="232"/>
      <c r="P12" s="233"/>
      <c r="Q12" s="234" t="s">
        <v>181</v>
      </c>
      <c r="R12" s="235"/>
      <c r="S12" s="236"/>
      <c r="T12" s="88" t="s">
        <v>108</v>
      </c>
      <c r="U12" s="81" t="s">
        <v>208</v>
      </c>
      <c r="V12" s="85" t="s">
        <v>185</v>
      </c>
      <c r="X12" s="90" t="s">
        <v>345</v>
      </c>
      <c r="Y12"/>
    </row>
    <row r="13" spans="1:27" s="12" customFormat="1" ht="18" customHeight="1" thickBot="1" x14ac:dyDescent="0.25">
      <c r="A13" s="12" t="s">
        <v>3</v>
      </c>
      <c r="B13" s="72" t="s">
        <v>180</v>
      </c>
      <c r="C13" s="73" t="s">
        <v>182</v>
      </c>
      <c r="D13" s="74" t="s">
        <v>184</v>
      </c>
      <c r="E13" s="75" t="s">
        <v>183</v>
      </c>
      <c r="F13" s="73" t="s">
        <v>182</v>
      </c>
      <c r="G13" s="74" t="s">
        <v>184</v>
      </c>
      <c r="H13" s="75" t="s">
        <v>183</v>
      </c>
      <c r="I13" s="82" t="s">
        <v>193</v>
      </c>
      <c r="J13" s="86" t="s">
        <v>186</v>
      </c>
      <c r="K13" s="71"/>
      <c r="L13" s="72" t="s">
        <v>180</v>
      </c>
      <c r="M13" s="72" t="s">
        <v>180</v>
      </c>
      <c r="N13" s="73" t="s">
        <v>182</v>
      </c>
      <c r="O13" s="74" t="s">
        <v>184</v>
      </c>
      <c r="P13" s="75" t="s">
        <v>183</v>
      </c>
      <c r="Q13" s="73" t="s">
        <v>182</v>
      </c>
      <c r="R13" s="74" t="s">
        <v>184</v>
      </c>
      <c r="S13" s="75" t="s">
        <v>183</v>
      </c>
      <c r="T13" s="89" t="s">
        <v>193</v>
      </c>
      <c r="U13" s="82" t="s">
        <v>219</v>
      </c>
      <c r="V13" s="86" t="s">
        <v>186</v>
      </c>
      <c r="X13" s="84" t="s">
        <v>188</v>
      </c>
      <c r="Y13"/>
    </row>
    <row r="14" spans="1:27" ht="18" customHeight="1" x14ac:dyDescent="0.2">
      <c r="B14" s="3"/>
      <c r="K14" s="2"/>
      <c r="L14" s="2"/>
      <c r="M14" s="2"/>
      <c r="V14" s="3"/>
      <c r="Y14"/>
    </row>
    <row r="15" spans="1:27" ht="18" customHeight="1" x14ac:dyDescent="0.2">
      <c r="A15" s="186" t="s">
        <v>5</v>
      </c>
      <c r="B15" s="101">
        <f>INDEX('2017 CP'!$B$8:$V$42,MATCH($A15,'2017 CP'!$B$8:$B$42,0),MATCH(B$12,'2017 CP'!$B$8:$V$8,0))</f>
        <v>351500.00945567666</v>
      </c>
      <c r="C15" s="14">
        <v>0</v>
      </c>
      <c r="D15" s="14">
        <v>0.39212000000000102</v>
      </c>
      <c r="E15" s="14">
        <v>0.60788000000000098</v>
      </c>
      <c r="F15" s="14">
        <v>1.0218365995754572</v>
      </c>
      <c r="G15" s="14">
        <v>1.0348230509591971</v>
      </c>
      <c r="H15" s="14">
        <v>1.0644101236847672</v>
      </c>
      <c r="I15" s="10">
        <f t="shared" ref="I15:I31" si="0">(B15*C15*F15)+(B15*D15*G15)+(B15*E15*H15)</f>
        <v>370062.17687077419</v>
      </c>
      <c r="J15" s="77">
        <f t="shared" ref="J15:J31" si="1">+I15/I$34</f>
        <v>1.8551020630065203E-2</v>
      </c>
      <c r="K15" s="2"/>
      <c r="L15" s="10">
        <f>INDEX('2017 SALES'!$B$8:$Q$42,MATCH($A15,'2017 SALES'!$B$8:$B$42,0),MATCH(L$12,'2017 SALES'!$B$8:$Q$8,0))</f>
        <v>2696313286</v>
      </c>
      <c r="M15" s="100">
        <f>L15/1000</f>
        <v>2696313.2859999998</v>
      </c>
      <c r="N15" s="14">
        <v>0</v>
      </c>
      <c r="O15" s="14">
        <v>0.39212000000000102</v>
      </c>
      <c r="P15" s="14">
        <v>0.60788000000000098</v>
      </c>
      <c r="Q15" s="14">
        <v>1.0170051802969728</v>
      </c>
      <c r="R15" s="14">
        <v>1.0266921244920639</v>
      </c>
      <c r="S15" s="14">
        <v>1.0486289832939273</v>
      </c>
      <c r="T15" s="10">
        <f t="shared" ref="T15:T31" si="2">(M15*N15*Q15)+(M15*O15*R15)+(M15*P15*S15)</f>
        <v>2804238.8935173294</v>
      </c>
      <c r="U15" s="10">
        <f>+T15/8760*1000</f>
        <v>320118.5951503801</v>
      </c>
      <c r="V15" s="77">
        <f t="shared" ref="V15:V31" si="3">+T15/T$34</f>
        <v>2.482140945190052E-2</v>
      </c>
      <c r="W15" s="76"/>
      <c r="X15" s="77">
        <f>(V15*$J$47)+(J15*(1-$J$47))</f>
        <v>2.2359303382914572E-2</v>
      </c>
      <c r="Y15"/>
      <c r="Z15" s="76"/>
    </row>
    <row r="16" spans="1:27" ht="18" customHeight="1" x14ac:dyDescent="0.2">
      <c r="A16" s="186" t="s">
        <v>6</v>
      </c>
      <c r="B16" s="101">
        <f>INDEX('2017 CP'!$B$8:$V$42,MATCH($A16,'2017 CP'!$B$8:$B$42,0),MATCH(B$12,'2017 CP'!$B$8:$V$8,0))</f>
        <v>13598.809688186566</v>
      </c>
      <c r="C16" s="14">
        <v>0</v>
      </c>
      <c r="D16" s="14">
        <v>1.4280000000000998E-2</v>
      </c>
      <c r="E16" s="14">
        <v>0.98572000000000104</v>
      </c>
      <c r="F16" s="14">
        <v>1.0218365995754572</v>
      </c>
      <c r="G16" s="14">
        <v>1.0348230509591971</v>
      </c>
      <c r="H16" s="14">
        <v>1.0644101236847672</v>
      </c>
      <c r="I16" s="10">
        <f t="shared" si="0"/>
        <v>14468.965158859201</v>
      </c>
      <c r="J16" s="77">
        <f t="shared" si="1"/>
        <v>7.2532154846892643E-4</v>
      </c>
      <c r="K16" s="2"/>
      <c r="L16" s="10">
        <f>INDEX('2017 SALES'!$B$8:$Q$42,MATCH($A16,'2017 SALES'!$B$8:$B$42,0),MATCH(L$12,'2017 SALES'!$B$8:$Q$8,0))</f>
        <v>101976406</v>
      </c>
      <c r="M16" s="100">
        <f t="shared" ref="M16:M31" si="4">L16/1000</f>
        <v>101976.406</v>
      </c>
      <c r="N16" s="14">
        <v>0</v>
      </c>
      <c r="O16" s="14">
        <v>1.4280000000000998E-2</v>
      </c>
      <c r="P16" s="14">
        <v>0.98572000000000104</v>
      </c>
      <c r="Q16" s="14">
        <v>1.0170051802969728</v>
      </c>
      <c r="R16" s="14">
        <v>1.0266921244920639</v>
      </c>
      <c r="S16" s="14">
        <v>1.0486289832939273</v>
      </c>
      <c r="T16" s="10">
        <f t="shared" si="2"/>
        <v>106903.46998370987</v>
      </c>
      <c r="U16" s="10">
        <f t="shared" ref="U16:U31" si="5">+T16/8760*1000</f>
        <v>12203.592463893821</v>
      </c>
      <c r="V16" s="77">
        <f t="shared" si="3"/>
        <v>9.4624420423980611E-4</v>
      </c>
      <c r="W16" s="76"/>
      <c r="X16" s="77">
        <f t="shared" ref="X16:X31" si="6">(V16*$J$47)+(J16*(1-$J$47))</f>
        <v>8.5949758819969129E-4</v>
      </c>
      <c r="Y16"/>
      <c r="Z16" s="76"/>
    </row>
    <row r="17" spans="1:26" ht="18" customHeight="1" x14ac:dyDescent="0.2">
      <c r="A17" s="186" t="s">
        <v>7</v>
      </c>
      <c r="B17" s="101">
        <f>INDEX('2017 CP'!$B$8:$V$42,MATCH($A17,'2017 CP'!$B$8:$B$42,0),MATCH(B$12,'2017 CP'!$B$8:$V$8,0))</f>
        <v>188371.35911641517</v>
      </c>
      <c r="C17" s="14">
        <v>1.0000000000000011</v>
      </c>
      <c r="D17" s="14">
        <v>0</v>
      </c>
      <c r="E17" s="14">
        <v>0</v>
      </c>
      <c r="F17" s="14">
        <v>1.0218365995754572</v>
      </c>
      <c r="G17" s="14">
        <v>1.0348230509591971</v>
      </c>
      <c r="H17" s="14">
        <v>1.0644101236847672</v>
      </c>
      <c r="I17" s="10">
        <f t="shared" si="0"/>
        <v>192484.74905692521</v>
      </c>
      <c r="J17" s="77">
        <f t="shared" si="1"/>
        <v>9.6491583682567564E-3</v>
      </c>
      <c r="K17" s="2"/>
      <c r="L17" s="10">
        <f>INDEX('2017 SALES'!$B$8:$Q$42,MATCH($A17,'2017 SALES'!$B$8:$B$42,0),MATCH(L$12,'2017 SALES'!$B$8:$Q$8,0))</f>
        <v>1508921571</v>
      </c>
      <c r="M17" s="100">
        <f t="shared" si="4"/>
        <v>1508921.571</v>
      </c>
      <c r="N17" s="14">
        <v>1.0000000000000011</v>
      </c>
      <c r="O17" s="14">
        <v>0</v>
      </c>
      <c r="P17" s="14">
        <v>0</v>
      </c>
      <c r="Q17" s="14">
        <v>1.0170051802969728</v>
      </c>
      <c r="R17" s="14">
        <v>1.0266921244920639</v>
      </c>
      <c r="S17" s="14">
        <v>1.0486289832939273</v>
      </c>
      <c r="T17" s="10">
        <f t="shared" si="2"/>
        <v>1534581.0543688482</v>
      </c>
      <c r="U17" s="10">
        <f t="shared" si="5"/>
        <v>175180.48565854432</v>
      </c>
      <c r="V17" s="77">
        <f t="shared" si="3"/>
        <v>1.3583173949863414E-2</v>
      </c>
      <c r="W17" s="76"/>
      <c r="X17" s="77">
        <f t="shared" si="6"/>
        <v>1.2038458954641795E-2</v>
      </c>
      <c r="Y17"/>
      <c r="Z17" s="76"/>
    </row>
    <row r="18" spans="1:26" ht="18" customHeight="1" x14ac:dyDescent="0.2">
      <c r="A18" s="186" t="s">
        <v>171</v>
      </c>
      <c r="B18" s="101">
        <f>INDEX('2017 CP'!$B$8:$V$42,MATCH($A18,'2017 CP'!$B$8:$B$42,0),MATCH(B$12,'2017 CP'!$B$8:$V$8,0))</f>
        <v>1050396.3714840773</v>
      </c>
      <c r="C18" s="14">
        <v>0</v>
      </c>
      <c r="D18" s="14">
        <v>0</v>
      </c>
      <c r="E18" s="14">
        <v>1.0000000000000011</v>
      </c>
      <c r="F18" s="14">
        <v>1.0218365995754572</v>
      </c>
      <c r="G18" s="14">
        <v>1.0348230509591971</v>
      </c>
      <c r="H18" s="14">
        <v>1.0644101236847672</v>
      </c>
      <c r="I18" s="10">
        <f t="shared" si="0"/>
        <v>1118052.5316893987</v>
      </c>
      <c r="J18" s="77">
        <f t="shared" si="1"/>
        <v>5.6047380351733248E-2</v>
      </c>
      <c r="K18" s="2"/>
      <c r="L18" s="10">
        <f>INDEX('2017 SALES'!$B$8:$Q$42,MATCH($A18,'2017 SALES'!$B$8:$B$42,0),MATCH(L$12,'2017 SALES'!$B$8:$Q$8,0))</f>
        <v>5996275128</v>
      </c>
      <c r="M18" s="100">
        <f t="shared" si="4"/>
        <v>5996275.1279999996</v>
      </c>
      <c r="N18" s="14">
        <v>0</v>
      </c>
      <c r="O18" s="14">
        <v>0</v>
      </c>
      <c r="P18" s="14">
        <v>1.0000000000000011</v>
      </c>
      <c r="Q18" s="14">
        <v>1.0170051802969728</v>
      </c>
      <c r="R18" s="14">
        <v>1.0266921244920639</v>
      </c>
      <c r="S18" s="14">
        <v>1.0486289832939273</v>
      </c>
      <c r="T18" s="10">
        <f t="shared" si="2"/>
        <v>6287867.8910253104</v>
      </c>
      <c r="U18" s="10">
        <f t="shared" si="5"/>
        <v>717793.13824489852</v>
      </c>
      <c r="V18" s="77">
        <f t="shared" si="3"/>
        <v>5.565636503487606E-2</v>
      </c>
      <c r="W18" s="76"/>
      <c r="X18" s="77">
        <f t="shared" si="6"/>
        <v>5.5809899562328021E-2</v>
      </c>
      <c r="Y18"/>
      <c r="Z18" s="76"/>
    </row>
    <row r="19" spans="1:26" ht="18" customHeight="1" x14ac:dyDescent="0.2">
      <c r="A19" s="186" t="s">
        <v>12</v>
      </c>
      <c r="B19" s="101">
        <f>INDEX('2017 CP'!$B$8:$V$42,MATCH($A19,'2017 CP'!$B$8:$B$42,0),MATCH(B$12,'2017 CP'!$B$8:$V$8,0))</f>
        <v>8410.4728895070893</v>
      </c>
      <c r="C19" s="14">
        <v>0</v>
      </c>
      <c r="D19" s="14">
        <v>0</v>
      </c>
      <c r="E19" s="14">
        <v>1.0000000000000011</v>
      </c>
      <c r="F19" s="14">
        <v>1.0218365995754572</v>
      </c>
      <c r="G19" s="14">
        <v>1.0348230509591971</v>
      </c>
      <c r="H19" s="14">
        <v>1.0644101236847672</v>
      </c>
      <c r="I19" s="10">
        <f t="shared" si="0"/>
        <v>8952.1924885676326</v>
      </c>
      <c r="J19" s="77">
        <f t="shared" si="1"/>
        <v>4.4876866083432617E-4</v>
      </c>
      <c r="K19" s="2"/>
      <c r="L19" s="10">
        <f>INDEX('2017 SALES'!$B$8:$Q$42,MATCH($A19,'2017 SALES'!$B$8:$B$42,0),MATCH(L$12,'2017 SALES'!$B$8:$Q$8,0))</f>
        <v>70241818</v>
      </c>
      <c r="M19" s="100">
        <f t="shared" si="4"/>
        <v>70241.817999999999</v>
      </c>
      <c r="N19" s="14">
        <v>0</v>
      </c>
      <c r="O19" s="14">
        <v>0</v>
      </c>
      <c r="P19" s="14">
        <v>1.0000000000000011</v>
      </c>
      <c r="Q19" s="14">
        <v>1.0170051802969728</v>
      </c>
      <c r="R19" s="14">
        <v>1.0266921244920639</v>
      </c>
      <c r="S19" s="14">
        <v>1.0486289832939273</v>
      </c>
      <c r="T19" s="10">
        <f t="shared" si="2"/>
        <v>73657.606194057153</v>
      </c>
      <c r="U19" s="10">
        <f t="shared" si="5"/>
        <v>8408.4025335681672</v>
      </c>
      <c r="V19" s="77">
        <f t="shared" si="3"/>
        <v>6.519721293417822E-4</v>
      </c>
      <c r="W19" s="76"/>
      <c r="X19" s="77">
        <f t="shared" si="6"/>
        <v>5.721830592750292E-4</v>
      </c>
      <c r="Y19"/>
      <c r="Z19" s="76"/>
    </row>
    <row r="20" spans="1:26" ht="18" customHeight="1" x14ac:dyDescent="0.2">
      <c r="A20" s="186" t="s">
        <v>170</v>
      </c>
      <c r="B20" s="101">
        <f>INDEX('2017 CP'!$B$8:$V$42,MATCH($A20,'2017 CP'!$B$8:$B$42,0),MATCH(B$12,'2017 CP'!$B$8:$V$8,0))</f>
        <v>4061369.0568574271</v>
      </c>
      <c r="C20" s="14">
        <v>0</v>
      </c>
      <c r="D20" s="14">
        <v>2.8800000000010002E-3</v>
      </c>
      <c r="E20" s="14">
        <v>0.99712000000000101</v>
      </c>
      <c r="F20" s="14">
        <v>1.0218365995754572</v>
      </c>
      <c r="G20" s="14">
        <v>1.0348230509591971</v>
      </c>
      <c r="H20" s="14">
        <v>1.0644101236847672</v>
      </c>
      <c r="I20" s="10">
        <f t="shared" si="0"/>
        <v>4322616.2677567555</v>
      </c>
      <c r="J20" s="77">
        <f t="shared" si="1"/>
        <v>0.21669046060606462</v>
      </c>
      <c r="K20" s="2"/>
      <c r="L20" s="10">
        <f>INDEX('2017 SALES'!$B$8:$Q$42,MATCH($A20,'2017 SALES'!$B$8:$B$42,0),MATCH(L$12,'2017 SALES'!$B$8:$Q$8,0))</f>
        <v>25944232965</v>
      </c>
      <c r="M20" s="100">
        <f t="shared" si="4"/>
        <v>25944232.965</v>
      </c>
      <c r="N20" s="14">
        <v>0</v>
      </c>
      <c r="O20" s="14">
        <v>2.8800000000010002E-3</v>
      </c>
      <c r="P20" s="14">
        <v>0.99712000000000101</v>
      </c>
      <c r="Q20" s="14">
        <v>1.0170051802969728</v>
      </c>
      <c r="R20" s="14">
        <v>1.0266921244920639</v>
      </c>
      <c r="S20" s="14">
        <v>1.0486289832939273</v>
      </c>
      <c r="T20" s="10">
        <f t="shared" si="2"/>
        <v>27204235.527700003</v>
      </c>
      <c r="U20" s="10">
        <f t="shared" si="5"/>
        <v>3105506.3387785391</v>
      </c>
      <c r="V20" s="77">
        <f t="shared" si="3"/>
        <v>0.24079527262102282</v>
      </c>
      <c r="W20" s="76"/>
      <c r="X20" s="77">
        <f t="shared" si="6"/>
        <v>0.23133037249439511</v>
      </c>
      <c r="Y20"/>
      <c r="Z20" s="76"/>
    </row>
    <row r="21" spans="1:26" ht="18" customHeight="1" x14ac:dyDescent="0.2">
      <c r="A21" s="186" t="s">
        <v>172</v>
      </c>
      <c r="B21" s="101">
        <f>INDEX('2017 CP'!$B$8:$V$42,MATCH($A21,'2017 CP'!$B$8:$B$42,0),MATCH(B$12,'2017 CP'!$B$8:$V$8,0))</f>
        <v>1641120.3789091483</v>
      </c>
      <c r="C21" s="14">
        <v>0</v>
      </c>
      <c r="D21" s="14">
        <v>3.9350000000001002E-2</v>
      </c>
      <c r="E21" s="14">
        <v>0.960650000000001</v>
      </c>
      <c r="F21" s="14">
        <v>1.0218365995754572</v>
      </c>
      <c r="G21" s="14">
        <v>1.0348230509591971</v>
      </c>
      <c r="H21" s="14">
        <v>1.0644101236847672</v>
      </c>
      <c r="I21" s="10">
        <f t="shared" si="0"/>
        <v>1744914.4689423954</v>
      </c>
      <c r="J21" s="77">
        <f t="shared" si="1"/>
        <v>8.7471636752418591E-2</v>
      </c>
      <c r="K21" s="2"/>
      <c r="L21" s="10">
        <f>INDEX('2017 SALES'!$B$8:$Q$42,MATCH($A21,'2017 SALES'!$B$8:$B$42,0),MATCH(L$12,'2017 SALES'!$B$8:$Q$8,0))</f>
        <v>10554686882</v>
      </c>
      <c r="M21" s="100">
        <f t="shared" si="4"/>
        <v>10554686.881999999</v>
      </c>
      <c r="N21" s="14">
        <v>0</v>
      </c>
      <c r="O21" s="14">
        <v>3.9350000000001002E-2</v>
      </c>
      <c r="P21" s="14">
        <v>0.960650000000001</v>
      </c>
      <c r="Q21" s="14">
        <v>1.0170051802969728</v>
      </c>
      <c r="R21" s="14">
        <v>1.0266921244920639</v>
      </c>
      <c r="S21" s="14">
        <v>1.0486289832939273</v>
      </c>
      <c r="T21" s="10">
        <f t="shared" si="2"/>
        <v>11058839.605863588</v>
      </c>
      <c r="U21" s="10">
        <f t="shared" si="5"/>
        <v>1262424.6125415054</v>
      </c>
      <c r="V21" s="77">
        <f t="shared" si="3"/>
        <v>9.7886091857080207E-2</v>
      </c>
      <c r="W21" s="76"/>
      <c r="X21" s="77">
        <f t="shared" si="6"/>
        <v>9.3796793115496921E-2</v>
      </c>
      <c r="Y21"/>
      <c r="Z21" s="76"/>
    </row>
    <row r="22" spans="1:26" ht="18" customHeight="1" x14ac:dyDescent="0.2">
      <c r="A22" s="186" t="s">
        <v>174</v>
      </c>
      <c r="B22" s="101">
        <f>INDEX('2017 CP'!$B$8:$V$42,MATCH($A22,'2017 CP'!$B$8:$B$42,0),MATCH(B$12,'2017 CP'!$B$8:$V$8,0))</f>
        <v>328269.18904842751</v>
      </c>
      <c r="C22" s="14">
        <v>0</v>
      </c>
      <c r="D22" s="14">
        <v>0.325210000000001</v>
      </c>
      <c r="E22" s="14">
        <v>0.674790000000001</v>
      </c>
      <c r="F22" s="14">
        <v>1.0218365995754572</v>
      </c>
      <c r="G22" s="14">
        <v>1.0348230509591971</v>
      </c>
      <c r="H22" s="14">
        <v>1.0644101236847672</v>
      </c>
      <c r="I22" s="10">
        <f t="shared" si="0"/>
        <v>346254.43806658755</v>
      </c>
      <c r="J22" s="77">
        <f t="shared" si="1"/>
        <v>1.7357551312432405E-2</v>
      </c>
      <c r="K22" s="2"/>
      <c r="L22" s="10">
        <f>INDEX('2017 SALES'!$B$8:$Q$42,MATCH($A22,'2017 SALES'!$B$8:$B$42,0),MATCH(L$12,'2017 SALES'!$B$8:$Q$8,0))</f>
        <v>2526124898</v>
      </c>
      <c r="M22" s="100">
        <f t="shared" si="4"/>
        <v>2526124.898</v>
      </c>
      <c r="N22" s="14">
        <v>0</v>
      </c>
      <c r="O22" s="14">
        <v>0.325210000000001</v>
      </c>
      <c r="P22" s="14">
        <v>0.674790000000001</v>
      </c>
      <c r="Q22" s="14">
        <v>1.0170051802969728</v>
      </c>
      <c r="R22" s="14">
        <v>1.0266921244920639</v>
      </c>
      <c r="S22" s="14">
        <v>1.0486289832939273</v>
      </c>
      <c r="T22" s="10">
        <f t="shared" si="2"/>
        <v>2630946.1915706568</v>
      </c>
      <c r="U22" s="10">
        <f t="shared" si="5"/>
        <v>300336.32323865948</v>
      </c>
      <c r="V22" s="77">
        <f t="shared" si="3"/>
        <v>2.3287528326441428E-2</v>
      </c>
      <c r="W22" s="76"/>
      <c r="X22" s="77">
        <f t="shared" si="6"/>
        <v>2.0959087011239962E-2</v>
      </c>
      <c r="Y22"/>
      <c r="Z22" s="76"/>
    </row>
    <row r="23" spans="1:26" ht="18" customHeight="1" x14ac:dyDescent="0.2">
      <c r="A23" s="186" t="s">
        <v>175</v>
      </c>
      <c r="B23" s="101">
        <f>INDEX('2017 CP'!$B$8:$V$42,MATCH($A23,'2017 CP'!$B$8:$B$42,0),MATCH(B$12,'2017 CP'!$B$8:$V$8,0))</f>
        <v>22898.095130678837</v>
      </c>
      <c r="C23" s="14">
        <v>1.0000000000000011</v>
      </c>
      <c r="D23" s="14">
        <v>0</v>
      </c>
      <c r="E23" s="14">
        <v>0</v>
      </c>
      <c r="F23" s="14">
        <v>1.0218365995754572</v>
      </c>
      <c r="G23" s="14">
        <v>1.0348230509591971</v>
      </c>
      <c r="H23" s="14">
        <v>1.0644101236847672</v>
      </c>
      <c r="I23" s="10">
        <f t="shared" si="0"/>
        <v>23398.111665088225</v>
      </c>
      <c r="J23" s="77">
        <f t="shared" si="1"/>
        <v>1.1729349264331718E-3</v>
      </c>
      <c r="K23" s="2"/>
      <c r="L23" s="10">
        <f>INDEX('2017 SALES'!$B$8:$Q$42,MATCH($A23,'2017 SALES'!$B$8:$B$42,0),MATCH(L$12,'2017 SALES'!$B$8:$Q$8,0))</f>
        <v>173041714</v>
      </c>
      <c r="M23" s="100">
        <f t="shared" si="4"/>
        <v>173041.71400000001</v>
      </c>
      <c r="N23" s="14">
        <v>1.0000000000000011</v>
      </c>
      <c r="O23" s="14">
        <v>0</v>
      </c>
      <c r="P23" s="14">
        <v>0</v>
      </c>
      <c r="Q23" s="14">
        <v>1.0170051802969728</v>
      </c>
      <c r="R23" s="14">
        <v>1.0266921244920639</v>
      </c>
      <c r="S23" s="14">
        <v>1.0486289832939273</v>
      </c>
      <c r="T23" s="10">
        <f t="shared" si="2"/>
        <v>175984.31954546741</v>
      </c>
      <c r="U23" s="10">
        <f t="shared" si="5"/>
        <v>20089.534194688062</v>
      </c>
      <c r="V23" s="77">
        <f t="shared" si="3"/>
        <v>1.5577056800154363E-3</v>
      </c>
      <c r="W23" s="76"/>
      <c r="X23" s="77">
        <f t="shared" si="6"/>
        <v>1.4066231180753768E-3</v>
      </c>
      <c r="Y23"/>
      <c r="Z23" s="76"/>
    </row>
    <row r="24" spans="1:26" ht="18" customHeight="1" x14ac:dyDescent="0.2">
      <c r="A24" s="186" t="s">
        <v>20</v>
      </c>
      <c r="B24" s="101">
        <f>INDEX('2017 CP'!$B$8:$V$42,MATCH($A24,'2017 CP'!$B$8:$B$42,0),MATCH(B$12,'2017 CP'!$B$8:$V$8,0))</f>
        <v>14496.859645580751</v>
      </c>
      <c r="C24" s="14">
        <v>0</v>
      </c>
      <c r="D24" s="14">
        <v>1.0000000000000011</v>
      </c>
      <c r="E24" s="14">
        <v>0</v>
      </c>
      <c r="F24" s="14">
        <v>1.0218365995754572</v>
      </c>
      <c r="G24" s="14">
        <v>1.0348230509591971</v>
      </c>
      <c r="H24" s="14">
        <v>1.0644101236847672</v>
      </c>
      <c r="I24" s="10">
        <f t="shared" si="0"/>
        <v>15001.684527767155</v>
      </c>
      <c r="J24" s="77">
        <f t="shared" si="1"/>
        <v>7.520264878556331E-4</v>
      </c>
      <c r="K24" s="2"/>
      <c r="L24" s="10">
        <f>INDEX('2017 SALES'!$B$8:$Q$42,MATCH($A24,'2017 SALES'!$B$8:$B$42,0),MATCH(L$12,'2017 SALES'!$B$8:$Q$8,0))</f>
        <v>91208296</v>
      </c>
      <c r="M24" s="100">
        <f t="shared" si="4"/>
        <v>91208.296000000002</v>
      </c>
      <c r="N24" s="14">
        <v>0</v>
      </c>
      <c r="O24" s="14">
        <v>1.0000000000000011</v>
      </c>
      <c r="P24" s="14">
        <v>0</v>
      </c>
      <c r="Q24" s="14">
        <v>1.0170051802969728</v>
      </c>
      <c r="R24" s="14">
        <v>1.0266921244920639</v>
      </c>
      <c r="S24" s="14">
        <v>1.0486289832939273</v>
      </c>
      <c r="T24" s="10">
        <f t="shared" si="2"/>
        <v>93642.839191541119</v>
      </c>
      <c r="U24" s="10">
        <f t="shared" si="5"/>
        <v>10689.821825518393</v>
      </c>
      <c r="V24" s="77">
        <f t="shared" si="3"/>
        <v>8.2886920197312896E-4</v>
      </c>
      <c r="W24" s="76"/>
      <c r="X24" s="77">
        <f t="shared" si="6"/>
        <v>7.9869644583921797E-4</v>
      </c>
      <c r="Y24"/>
      <c r="Z24" s="76"/>
    </row>
    <row r="25" spans="1:26" ht="18" customHeight="1" x14ac:dyDescent="0.2">
      <c r="A25" s="186" t="s">
        <v>21</v>
      </c>
      <c r="B25" s="101">
        <f>INDEX('2017 CP'!$B$8:$V$42,MATCH($A25,'2017 CP'!$B$8:$B$42,0),MATCH(B$12,'2017 CP'!$B$8:$V$8,0))</f>
        <v>1859.4214516773366</v>
      </c>
      <c r="C25" s="14">
        <v>0</v>
      </c>
      <c r="D25" s="14">
        <v>0</v>
      </c>
      <c r="E25" s="14">
        <v>1.0000000000000011</v>
      </c>
      <c r="F25" s="14">
        <v>1.0218365995754572</v>
      </c>
      <c r="G25" s="14">
        <v>1.0348230509591971</v>
      </c>
      <c r="H25" s="14">
        <v>1.0644101236847672</v>
      </c>
      <c r="I25" s="10">
        <f t="shared" si="0"/>
        <v>1979.1870173619852</v>
      </c>
      <c r="J25" s="77">
        <f t="shared" si="1"/>
        <v>9.9215595336728013E-5</v>
      </c>
      <c r="K25" s="2"/>
      <c r="L25" s="10">
        <f>INDEX('2017 SALES'!$B$8:$Q$42,MATCH($A25,'2017 SALES'!$B$8:$B$42,0),MATCH(L$12,'2017 SALES'!$B$8:$Q$8,0))</f>
        <v>97899984</v>
      </c>
      <c r="M25" s="100">
        <f t="shared" si="4"/>
        <v>97899.983999999997</v>
      </c>
      <c r="N25" s="14">
        <v>0</v>
      </c>
      <c r="O25" s="14">
        <v>0</v>
      </c>
      <c r="P25" s="14">
        <v>1.0000000000000011</v>
      </c>
      <c r="Q25" s="14">
        <v>1.0170051802969728</v>
      </c>
      <c r="R25" s="14">
        <v>1.0266921244920639</v>
      </c>
      <c r="S25" s="14">
        <v>1.0486289832939273</v>
      </c>
      <c r="T25" s="10">
        <f t="shared" si="2"/>
        <v>102660.76068641186</v>
      </c>
      <c r="U25" s="10">
        <f t="shared" si="5"/>
        <v>11719.264918540166</v>
      </c>
      <c r="V25" s="77">
        <f t="shared" si="3"/>
        <v>9.0869033359880307E-4</v>
      </c>
      <c r="W25" s="76"/>
      <c r="X25" s="77">
        <f t="shared" si="6"/>
        <v>5.9084518517266106E-4</v>
      </c>
      <c r="Y25"/>
      <c r="Z25" s="76"/>
    </row>
    <row r="26" spans="1:26" ht="18" customHeight="1" x14ac:dyDescent="0.2">
      <c r="A26" s="186" t="s">
        <v>22</v>
      </c>
      <c r="B26" s="101">
        <f>INDEX('2017 CP'!$B$8:$V$42,MATCH($A26,'2017 CP'!$B$8:$B$42,0),MATCH(B$12,'2017 CP'!$B$8:$V$8,0))</f>
        <v>1332.93593124623</v>
      </c>
      <c r="C26" s="14">
        <v>0</v>
      </c>
      <c r="D26" s="14">
        <v>1.0000000000000011</v>
      </c>
      <c r="E26" s="14">
        <v>0</v>
      </c>
      <c r="F26" s="14">
        <v>1.0218365995754572</v>
      </c>
      <c r="G26" s="14">
        <v>1.0348230509591971</v>
      </c>
      <c r="H26" s="14">
        <v>1.0644101236847672</v>
      </c>
      <c r="I26" s="10">
        <f t="shared" si="0"/>
        <v>1379.352827105364</v>
      </c>
      <c r="J26" s="77">
        <f t="shared" si="1"/>
        <v>6.9146225556322783E-5</v>
      </c>
      <c r="K26" s="2"/>
      <c r="L26" s="10">
        <f>INDEX('2017 SALES'!$B$8:$Q$42,MATCH($A26,'2017 SALES'!$B$8:$B$42,0),MATCH(L$12,'2017 SALES'!$B$8:$Q$8,0))</f>
        <v>10793313</v>
      </c>
      <c r="M26" s="100">
        <f t="shared" si="4"/>
        <v>10793.313</v>
      </c>
      <c r="N26" s="14">
        <v>0</v>
      </c>
      <c r="O26" s="14">
        <v>0.25134000000000101</v>
      </c>
      <c r="P26" s="14">
        <v>0.74866000000000099</v>
      </c>
      <c r="Q26" s="14">
        <v>1.0170051802969728</v>
      </c>
      <c r="R26" s="14">
        <v>1.0266921244920639</v>
      </c>
      <c r="S26" s="14">
        <v>1.0486289832939273</v>
      </c>
      <c r="T26" s="10">
        <f t="shared" si="2"/>
        <v>11258.670718088219</v>
      </c>
      <c r="U26" s="10">
        <f t="shared" si="5"/>
        <v>1285.236383343404</v>
      </c>
      <c r="V26" s="77">
        <f t="shared" si="3"/>
        <v>9.9654874776831679E-5</v>
      </c>
      <c r="W26" s="76"/>
      <c r="X26" s="77">
        <f t="shared" si="6"/>
        <v>8.7675469266793084E-5</v>
      </c>
      <c r="Y26"/>
      <c r="Z26" s="76"/>
    </row>
    <row r="27" spans="1:26" ht="18" customHeight="1" x14ac:dyDescent="0.2">
      <c r="A27" s="186" t="s">
        <v>169</v>
      </c>
      <c r="B27" s="101">
        <f>INDEX('2017 CP'!$B$8:$V$42,MATCH($A27,'2017 CP'!$B$8:$B$42,0),MATCH(B$12,'2017 CP'!$B$8:$V$8,0))</f>
        <v>11049744.204635767</v>
      </c>
      <c r="C27" s="14">
        <v>0</v>
      </c>
      <c r="D27" s="14">
        <v>0</v>
      </c>
      <c r="E27" s="14">
        <v>1.0000000000000011</v>
      </c>
      <c r="F27" s="14">
        <v>1.0218365995754572</v>
      </c>
      <c r="G27" s="14">
        <v>1.0348230509591971</v>
      </c>
      <c r="H27" s="14">
        <v>1.0644101236847672</v>
      </c>
      <c r="I27" s="10">
        <f t="shared" si="0"/>
        <v>11761459.59554141</v>
      </c>
      <c r="J27" s="77">
        <f t="shared" si="1"/>
        <v>0.58959573075407268</v>
      </c>
      <c r="K27" s="2"/>
      <c r="L27" s="10">
        <f>INDEX('2017 SALES'!$B$8:$Q$42,MATCH($A27,'2017 SALES'!$B$8:$B$42,0),MATCH(L$12,'2017 SALES'!$B$8:$Q$8,0))</f>
        <v>57375392961</v>
      </c>
      <c r="M27" s="100">
        <f t="shared" si="4"/>
        <v>57375392.961000003</v>
      </c>
      <c r="N27" s="14">
        <v>0</v>
      </c>
      <c r="O27" s="14">
        <v>0</v>
      </c>
      <c r="P27" s="14">
        <v>1.0000000000000011</v>
      </c>
      <c r="Q27" s="14">
        <v>1.0170051802969728</v>
      </c>
      <c r="R27" s="14">
        <v>1.0266921244920639</v>
      </c>
      <c r="S27" s="14">
        <v>1.0486289832939273</v>
      </c>
      <c r="T27" s="10">
        <f t="shared" si="2"/>
        <v>60165499.986783057</v>
      </c>
      <c r="U27" s="10">
        <f t="shared" si="5"/>
        <v>6868207.7610482937</v>
      </c>
      <c r="V27" s="77">
        <f t="shared" si="3"/>
        <v>0.53254824811915713</v>
      </c>
      <c r="W27" s="76"/>
      <c r="X27" s="77">
        <f t="shared" si="6"/>
        <v>0.55494828696948872</v>
      </c>
      <c r="Y27"/>
      <c r="Z27" s="76"/>
    </row>
    <row r="28" spans="1:26" ht="18" customHeight="1" x14ac:dyDescent="0.2">
      <c r="A28" s="186" t="s">
        <v>27</v>
      </c>
      <c r="B28" s="101">
        <f>INDEX('2017 CP'!$B$8:$V$42,MATCH($A28,'2017 CP'!$B$8:$B$42,0),MATCH(B$12,'2017 CP'!$B$8:$V$8,0))</f>
        <v>10942.344746687342</v>
      </c>
      <c r="C28" s="14">
        <v>0</v>
      </c>
      <c r="D28" s="14">
        <v>0</v>
      </c>
      <c r="E28" s="14">
        <v>1.0000000000000011</v>
      </c>
      <c r="F28" s="14">
        <v>1.0218365995754572</v>
      </c>
      <c r="G28" s="14">
        <v>1.0348230509591971</v>
      </c>
      <c r="H28" s="14">
        <v>1.0644101236847672</v>
      </c>
      <c r="I28" s="10">
        <f t="shared" si="0"/>
        <v>11647.142525222849</v>
      </c>
      <c r="J28" s="77">
        <f t="shared" si="1"/>
        <v>5.8386507665756184E-4</v>
      </c>
      <c r="K28" s="2"/>
      <c r="L28" s="10">
        <f>INDEX('2017 SALES'!$B$8:$Q$42,MATCH($A28,'2017 SALES'!$B$8:$B$42,0),MATCH(L$12,'2017 SALES'!$B$8:$Q$8,0))</f>
        <v>561284645</v>
      </c>
      <c r="M28" s="100">
        <f t="shared" si="4"/>
        <v>561284.64500000002</v>
      </c>
      <c r="N28" s="14">
        <v>0</v>
      </c>
      <c r="O28" s="14">
        <v>0</v>
      </c>
      <c r="P28" s="14">
        <v>1.0000000000000011</v>
      </c>
      <c r="Q28" s="14">
        <v>1.0170051802969728</v>
      </c>
      <c r="R28" s="14">
        <v>1.0266921244920639</v>
      </c>
      <c r="S28" s="14">
        <v>1.0486289832939273</v>
      </c>
      <c r="T28" s="10">
        <f t="shared" si="2"/>
        <v>588579.34662484354</v>
      </c>
      <c r="U28" s="10">
        <f t="shared" si="5"/>
        <v>67189.423130689902</v>
      </c>
      <c r="V28" s="77">
        <f t="shared" si="3"/>
        <v>5.2097447871792884E-3</v>
      </c>
      <c r="W28" s="76"/>
      <c r="X28" s="77">
        <f t="shared" si="6"/>
        <v>3.3933651601275676E-3</v>
      </c>
      <c r="Y28"/>
      <c r="Z28" s="76"/>
    </row>
    <row r="29" spans="1:26" ht="18" customHeight="1" x14ac:dyDescent="0.2">
      <c r="A29" s="186" t="s">
        <v>28</v>
      </c>
      <c r="B29" s="101">
        <f>INDEX('2017 CP'!$B$8:$V$42,MATCH($A29,'2017 CP'!$B$8:$B$42,0),MATCH(B$12,'2017 CP'!$B$8:$V$8,0))</f>
        <v>3919.9810954104796</v>
      </c>
      <c r="C29" s="14">
        <v>0</v>
      </c>
      <c r="D29" s="14">
        <v>0</v>
      </c>
      <c r="E29" s="14">
        <v>1.0000000000000011</v>
      </c>
      <c r="F29" s="14">
        <v>1.0218365995754572</v>
      </c>
      <c r="G29" s="14">
        <v>1.0348230509591971</v>
      </c>
      <c r="H29" s="14">
        <v>1.0644101236847672</v>
      </c>
      <c r="I29" s="10">
        <f t="shared" si="0"/>
        <v>4172.4675626078224</v>
      </c>
      <c r="J29" s="77">
        <f t="shared" si="1"/>
        <v>2.0916358566210595E-4</v>
      </c>
      <c r="K29" s="2"/>
      <c r="L29" s="10">
        <f>INDEX('2017 SALES'!$B$8:$Q$42,MATCH($A29,'2017 SALES'!$B$8:$B$42,0),MATCH(L$12,'2017 SALES'!$B$8:$Q$8,0))</f>
        <v>32762626</v>
      </c>
      <c r="M29" s="100">
        <f t="shared" si="4"/>
        <v>32762.626</v>
      </c>
      <c r="N29" s="14">
        <v>0</v>
      </c>
      <c r="O29" s="14">
        <v>0</v>
      </c>
      <c r="P29" s="14">
        <v>1.0000000000000011</v>
      </c>
      <c r="Q29" s="14">
        <v>1.0170051802969728</v>
      </c>
      <c r="R29" s="14">
        <v>1.0266921244920639</v>
      </c>
      <c r="S29" s="14">
        <v>1.0486289832939273</v>
      </c>
      <c r="T29" s="10">
        <f t="shared" si="2"/>
        <v>34355.839192419226</v>
      </c>
      <c r="U29" s="10">
        <f t="shared" si="5"/>
        <v>3921.8994511894093</v>
      </c>
      <c r="V29" s="77">
        <f t="shared" si="3"/>
        <v>3.0409689903026767E-4</v>
      </c>
      <c r="W29" s="76"/>
      <c r="X29" s="77">
        <f t="shared" si="6"/>
        <v>2.6682075976139819E-4</v>
      </c>
      <c r="Y29"/>
      <c r="Z29" s="76"/>
    </row>
    <row r="30" spans="1:26" ht="18" customHeight="1" x14ac:dyDescent="0.2">
      <c r="A30" s="186" t="s">
        <v>29</v>
      </c>
      <c r="B30" s="101">
        <f>INDEX('2017 CP'!$B$8:$V$42,MATCH($A30,'2017 CP'!$B$8:$B$42,0),MATCH(B$12,'2017 CP'!$B$8:$V$8,0))</f>
        <v>1725.1004208804845</v>
      </c>
      <c r="C30" s="14">
        <v>0</v>
      </c>
      <c r="D30" s="14">
        <v>1.0000000000000011</v>
      </c>
      <c r="E30" s="14">
        <v>0</v>
      </c>
      <c r="F30" s="14">
        <v>1.0218365995754572</v>
      </c>
      <c r="G30" s="14">
        <v>1.0348230509591971</v>
      </c>
      <c r="H30" s="14">
        <v>1.0644101236847672</v>
      </c>
      <c r="I30" s="10">
        <f t="shared" si="0"/>
        <v>1785.17368074654</v>
      </c>
      <c r="J30" s="77">
        <f t="shared" si="1"/>
        <v>8.9489809684989462E-5</v>
      </c>
      <c r="K30" s="2"/>
      <c r="L30" s="10">
        <f>INDEX('2017 SALES'!$B$8:$Q$42,MATCH($A30,'2017 SALES'!$B$8:$B$42,0),MATCH(L$12,'2017 SALES'!$B$8:$Q$8,0))</f>
        <v>11856926</v>
      </c>
      <c r="M30" s="100">
        <f t="shared" si="4"/>
        <v>11856.925999999999</v>
      </c>
      <c r="N30" s="14">
        <v>0</v>
      </c>
      <c r="O30" s="14">
        <v>1.0000000000000011</v>
      </c>
      <c r="P30" s="14">
        <v>0</v>
      </c>
      <c r="Q30" s="14">
        <v>1.0170051802969728</v>
      </c>
      <c r="R30" s="14">
        <v>1.0266921244920639</v>
      </c>
      <c r="S30" s="14">
        <v>1.0486289832939273</v>
      </c>
      <c r="T30" s="10">
        <f t="shared" si="2"/>
        <v>12173.412544885203</v>
      </c>
      <c r="U30" s="10">
        <f t="shared" si="5"/>
        <v>1389.6589663110963</v>
      </c>
      <c r="V30" s="77">
        <f t="shared" si="3"/>
        <v>1.0775161057141605E-4</v>
      </c>
      <c r="W30" s="76"/>
      <c r="X30" s="77">
        <f t="shared" si="6"/>
        <v>1.0058100407943721E-4</v>
      </c>
      <c r="Y30"/>
      <c r="Z30" s="76"/>
    </row>
    <row r="31" spans="1:26" ht="18" customHeight="1" x14ac:dyDescent="0.2">
      <c r="A31" s="186" t="s">
        <v>30</v>
      </c>
      <c r="B31" s="101">
        <f>INDEX('2017 CP'!$B$8:$V$42,MATCH($A31,'2017 CP'!$B$8:$B$42,0),MATCH(B$12,'2017 CP'!$B$8:$V$8,0))</f>
        <v>9509.7630694086529</v>
      </c>
      <c r="C31" s="14">
        <v>1.0000000000000011</v>
      </c>
      <c r="D31" s="14">
        <v>0</v>
      </c>
      <c r="E31" s="14">
        <v>0</v>
      </c>
      <c r="F31" s="14">
        <v>1.0218365995754572</v>
      </c>
      <c r="G31" s="14">
        <v>1.0348230509591971</v>
      </c>
      <c r="H31" s="14">
        <v>1.0644101236847672</v>
      </c>
      <c r="I31" s="10">
        <f t="shared" si="0"/>
        <v>9717.423957612813</v>
      </c>
      <c r="J31" s="77">
        <f t="shared" si="1"/>
        <v>4.8712930846676292E-4</v>
      </c>
      <c r="K31" s="2"/>
      <c r="L31" s="10">
        <f>INDEX('2017 SALES'!$B$8:$Q$42,MATCH($A31,'2017 SALES'!$B$8:$B$42,0),MATCH(L$12,'2017 SALES'!$B$8:$Q$8,0))</f>
        <v>89667754</v>
      </c>
      <c r="M31" s="100">
        <f t="shared" si="4"/>
        <v>89667.754000000001</v>
      </c>
      <c r="N31" s="14">
        <v>1.0000000000000011</v>
      </c>
      <c r="O31" s="14">
        <v>0</v>
      </c>
      <c r="P31" s="14">
        <v>0</v>
      </c>
      <c r="Q31" s="14">
        <v>1.0170051802969728</v>
      </c>
      <c r="R31" s="14">
        <v>1.0266921244920639</v>
      </c>
      <c r="S31" s="14">
        <v>1.0486289832939273</v>
      </c>
      <c r="T31" s="10">
        <f t="shared" si="2"/>
        <v>91192.570323594715</v>
      </c>
      <c r="U31" s="10">
        <f t="shared" si="5"/>
        <v>10410.110767533643</v>
      </c>
      <c r="V31" s="77">
        <f t="shared" si="3"/>
        <v>8.0718091893164476E-4</v>
      </c>
      <c r="W31" s="76"/>
      <c r="X31" s="77">
        <f t="shared" si="6"/>
        <v>6.8151071969770505E-4</v>
      </c>
      <c r="Y31"/>
      <c r="Z31" s="76"/>
    </row>
    <row r="32" spans="1:26" ht="18" customHeight="1" x14ac:dyDescent="0.2">
      <c r="B32" s="87"/>
      <c r="C32" s="14"/>
      <c r="D32" s="14"/>
      <c r="E32" s="14"/>
      <c r="F32" s="14"/>
      <c r="G32" s="14"/>
      <c r="H32" s="14"/>
      <c r="I32" s="10"/>
      <c r="J32" s="77"/>
      <c r="K32" s="2"/>
      <c r="L32" s="10"/>
      <c r="M32" s="10"/>
      <c r="N32" s="14"/>
      <c r="O32" s="14"/>
      <c r="P32" s="14"/>
      <c r="Q32" s="14"/>
      <c r="R32" s="14"/>
      <c r="S32" s="14"/>
      <c r="T32" s="10"/>
      <c r="U32" s="10"/>
      <c r="V32" s="77"/>
      <c r="W32" s="76"/>
      <c r="X32" s="77"/>
      <c r="Y32"/>
      <c r="Z32" s="76"/>
    </row>
    <row r="33" spans="1:26" ht="18" customHeight="1" x14ac:dyDescent="0.2">
      <c r="B33" s="3"/>
      <c r="C33" s="14"/>
      <c r="D33" s="14"/>
      <c r="E33" s="14"/>
      <c r="F33" s="14"/>
      <c r="G33" s="14"/>
      <c r="H33" s="14"/>
      <c r="J33" s="77"/>
      <c r="K33" s="2"/>
      <c r="N33" s="14"/>
      <c r="O33" s="14"/>
      <c r="P33" s="14"/>
      <c r="Q33" s="14"/>
      <c r="R33" s="14"/>
      <c r="S33" s="14"/>
      <c r="T33" s="3"/>
      <c r="U33" s="3"/>
      <c r="V33" s="77"/>
      <c r="W33" s="76"/>
      <c r="X33" s="77"/>
      <c r="Y33"/>
      <c r="Z33" s="76"/>
    </row>
    <row r="34" spans="1:26" ht="18" customHeight="1" thickBot="1" x14ac:dyDescent="0.25">
      <c r="A34" s="2" t="s">
        <v>173</v>
      </c>
      <c r="B34" s="13">
        <f>SUM(B15:B33)</f>
        <v>18759464.353576206</v>
      </c>
      <c r="C34" s="14"/>
      <c r="D34" s="14"/>
      <c r="E34" s="14"/>
      <c r="F34" s="14"/>
      <c r="G34" s="14"/>
      <c r="H34" s="14"/>
      <c r="I34" s="13">
        <f>SUM(I15:I33)</f>
        <v>19948345.929335184</v>
      </c>
      <c r="J34" s="78">
        <f>SUM(J15:J33)</f>
        <v>1</v>
      </c>
      <c r="K34" s="2"/>
      <c r="L34" s="13">
        <f>SUM(L15:L33)</f>
        <v>107842681173</v>
      </c>
      <c r="M34" s="13">
        <f>SUM(M15:M33)</f>
        <v>107842681.17299999</v>
      </c>
      <c r="N34" s="14"/>
      <c r="O34" s="14"/>
      <c r="P34" s="14"/>
      <c r="Q34" s="14"/>
      <c r="R34" s="14"/>
      <c r="S34" s="14"/>
      <c r="T34" s="13">
        <f>SUM(T15:T33)</f>
        <v>112976617.98583381</v>
      </c>
      <c r="U34" s="13">
        <f>SUM(U15:U33)</f>
        <v>12896874.199296094</v>
      </c>
      <c r="V34" s="78">
        <f>SUM(V15:V33)</f>
        <v>0.99999999999999989</v>
      </c>
      <c r="W34" s="76"/>
      <c r="X34" s="78">
        <f>SUM(X15:X33)</f>
        <v>0.99999999999999989</v>
      </c>
      <c r="Y34"/>
      <c r="Z34" s="76"/>
    </row>
    <row r="35" spans="1:26" ht="15" customHeight="1" thickTop="1" x14ac:dyDescent="0.2">
      <c r="E35" s="14"/>
      <c r="F35" s="14"/>
      <c r="H35" s="14"/>
      <c r="I35" s="14"/>
      <c r="J35" s="14"/>
      <c r="K35" s="14"/>
      <c r="Q35" s="15"/>
    </row>
    <row r="36" spans="1:26" ht="15" customHeight="1" x14ac:dyDescent="0.2">
      <c r="A36" s="16"/>
      <c r="U36" s="10"/>
    </row>
    <row r="37" spans="1:26" ht="15" customHeight="1" x14ac:dyDescent="0.2">
      <c r="A37" s="16" t="s">
        <v>177</v>
      </c>
      <c r="C37" s="2"/>
      <c r="H37" s="2"/>
      <c r="I37" s="2"/>
      <c r="J37" s="2"/>
    </row>
    <row r="38" spans="1:26" ht="15" customHeight="1" x14ac:dyDescent="0.2">
      <c r="A38" s="18" t="s">
        <v>221</v>
      </c>
      <c r="C38" s="2"/>
      <c r="H38" s="2"/>
      <c r="I38" s="2"/>
      <c r="J38" s="2"/>
      <c r="U38" s="93"/>
    </row>
    <row r="39" spans="1:26" ht="15" customHeight="1" x14ac:dyDescent="0.2">
      <c r="A39" s="18" t="s">
        <v>356</v>
      </c>
      <c r="C39" s="2"/>
      <c r="H39" s="2"/>
      <c r="I39" s="2"/>
      <c r="J39" s="2"/>
    </row>
    <row r="40" spans="1:26" ht="15" customHeight="1" x14ac:dyDescent="0.2">
      <c r="A40" s="18" t="s">
        <v>194</v>
      </c>
      <c r="C40" s="2"/>
      <c r="H40" s="2"/>
      <c r="I40" s="2"/>
      <c r="J40" s="2"/>
    </row>
    <row r="41" spans="1:26" ht="15" customHeight="1" x14ac:dyDescent="0.2">
      <c r="A41" s="18" t="s">
        <v>178</v>
      </c>
      <c r="C41" s="2"/>
      <c r="H41" s="2"/>
      <c r="I41" s="2"/>
      <c r="J41" s="2"/>
    </row>
    <row r="42" spans="1:26" ht="15" customHeight="1" x14ac:dyDescent="0.2">
      <c r="A42" s="19" t="s">
        <v>176</v>
      </c>
      <c r="C42" s="2"/>
      <c r="H42" s="2"/>
      <c r="I42" s="2"/>
      <c r="J42" s="2"/>
    </row>
    <row r="43" spans="1:26" ht="15" customHeight="1" x14ac:dyDescent="0.2">
      <c r="C43" s="2"/>
      <c r="H43" s="2"/>
      <c r="I43" s="2"/>
      <c r="J43" s="2"/>
    </row>
    <row r="44" spans="1:26" ht="15" customHeight="1" x14ac:dyDescent="0.2">
      <c r="C44" s="2"/>
      <c r="H44" s="2"/>
      <c r="I44" s="2"/>
      <c r="J44" s="2"/>
    </row>
    <row r="45" spans="1:26" ht="15" customHeight="1" x14ac:dyDescent="0.2">
      <c r="C45" s="2"/>
      <c r="H45" s="2"/>
      <c r="I45" s="2"/>
      <c r="J45" s="2"/>
    </row>
    <row r="46" spans="1:26" ht="15" customHeight="1" x14ac:dyDescent="0.2">
      <c r="B46" s="216" t="s">
        <v>179</v>
      </c>
      <c r="C46" s="2"/>
      <c r="D46" s="217"/>
      <c r="E46" s="217" t="s">
        <v>179</v>
      </c>
      <c r="G46" s="219" t="s">
        <v>217</v>
      </c>
      <c r="I46" s="217"/>
      <c r="J46" s="218" t="s">
        <v>353</v>
      </c>
      <c r="K46" s="2"/>
      <c r="M46" s="219" t="s">
        <v>357</v>
      </c>
    </row>
    <row r="47" spans="1:26" ht="15" customHeight="1" x14ac:dyDescent="0.2">
      <c r="A47" s="2" t="s">
        <v>349</v>
      </c>
      <c r="B47" s="15">
        <f>I34</f>
        <v>19948345.929335184</v>
      </c>
      <c r="C47" s="2" t="s">
        <v>350</v>
      </c>
      <c r="D47" s="240">
        <f>I34</f>
        <v>19948345.929335184</v>
      </c>
      <c r="E47" s="241"/>
      <c r="F47" s="2" t="s">
        <v>351</v>
      </c>
      <c r="G47" s="240">
        <f>U34</f>
        <v>12896874.199296094</v>
      </c>
      <c r="H47" s="241"/>
      <c r="I47" s="218" t="s">
        <v>352</v>
      </c>
      <c r="J47" s="220">
        <f>B47/(D47+G47)</f>
        <v>0.60734395602196467</v>
      </c>
      <c r="K47" s="217"/>
      <c r="M47" s="220">
        <f>1-J47</f>
        <v>0.39265604397803533</v>
      </c>
    </row>
  </sheetData>
  <mergeCells count="10">
    <mergeCell ref="D47:E47"/>
    <mergeCell ref="G47:H47"/>
    <mergeCell ref="A4:AA4"/>
    <mergeCell ref="A5:AA5"/>
    <mergeCell ref="B11:J11"/>
    <mergeCell ref="M11:V11"/>
    <mergeCell ref="C12:E12"/>
    <mergeCell ref="F12:H12"/>
    <mergeCell ref="N12:P12"/>
    <mergeCell ref="Q12:S12"/>
  </mergeCells>
  <printOptions horizontalCentered="1"/>
  <pageMargins left="0.5" right="0.5" top="0.75" bottom="0.5" header="0" footer="0"/>
  <pageSetup scale="75" pageOrder="overThenDown" orientation="landscape" cellComments="asDisplayed" r:id="rId1"/>
  <headerFooter alignWithMargins="0"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6"/>
  <sheetViews>
    <sheetView showGridLines="0" defaultGridColor="0" colorId="22" zoomScale="75" zoomScaleNormal="75" zoomScaleSheetLayoutView="7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D395" sqref="D395"/>
    </sheetView>
  </sheetViews>
  <sheetFormatPr defaultColWidth="9.140625" defaultRowHeight="15" customHeight="1" x14ac:dyDescent="0.2"/>
  <cols>
    <col min="1" max="1" width="9.7109375" style="2" customWidth="1"/>
    <col min="2" max="2" width="66.5703125" style="2" bestFit="1" customWidth="1"/>
    <col min="3" max="3" width="4.5703125" style="2" bestFit="1" customWidth="1"/>
    <col min="4" max="4" width="21.42578125" style="3" bestFit="1" customWidth="1"/>
    <col min="5" max="5" width="18" style="3" bestFit="1" customWidth="1"/>
    <col min="6" max="6" width="16.5703125" style="3" bestFit="1" customWidth="1"/>
    <col min="7" max="7" width="18" style="3" bestFit="1" customWidth="1"/>
    <col min="8" max="9" width="16.5703125" style="3" bestFit="1" customWidth="1"/>
    <col min="10" max="10" width="14.5703125" style="3" bestFit="1" customWidth="1"/>
    <col min="11" max="11" width="19.42578125" style="3" bestFit="1" customWidth="1"/>
    <col min="12" max="12" width="16.5703125" style="3" bestFit="1" customWidth="1"/>
    <col min="13" max="14" width="19.42578125" style="3" bestFit="1" customWidth="1"/>
    <col min="15" max="15" width="18" style="3" bestFit="1" customWidth="1"/>
    <col min="16" max="16" width="16.5703125" style="3" bestFit="1" customWidth="1"/>
    <col min="17" max="17" width="18" style="3" bestFit="1" customWidth="1"/>
    <col min="18" max="18" width="19.42578125" style="3" bestFit="1" customWidth="1"/>
    <col min="19" max="19" width="18" style="3" bestFit="1" customWidth="1"/>
    <col min="20" max="20" width="16.5703125" style="3" bestFit="1" customWidth="1"/>
    <col min="21" max="21" width="18" style="3" bestFit="1" customWidth="1"/>
    <col min="22" max="22" width="14.5703125" style="3" bestFit="1" customWidth="1"/>
    <col min="23" max="23" width="21.42578125" style="3" bestFit="1" customWidth="1"/>
    <col min="24" max="25" width="18" style="3" bestFit="1" customWidth="1"/>
    <col min="26" max="26" width="16.5703125" style="3" bestFit="1" customWidth="1"/>
    <col min="27" max="27" width="18" style="3" bestFit="1" customWidth="1"/>
    <col min="28" max="28" width="16.5703125" style="3" bestFit="1" customWidth="1"/>
    <col min="29" max="29" width="14.5703125" style="3" bestFit="1" customWidth="1"/>
    <col min="30" max="31" width="16.5703125" style="3" bestFit="1" customWidth="1"/>
    <col min="32" max="33" width="14.5703125" style="3" bestFit="1" customWidth="1"/>
    <col min="34" max="34" width="16.5703125" style="3" bestFit="1" customWidth="1"/>
    <col min="35" max="16384" width="9.140625" style="4"/>
  </cols>
  <sheetData>
    <row r="1" spans="1:34" ht="15" customHeight="1" x14ac:dyDescent="0.2">
      <c r="A1" s="1" t="s">
        <v>0</v>
      </c>
    </row>
    <row r="2" spans="1:34" ht="15" customHeight="1" x14ac:dyDescent="0.2">
      <c r="A2" s="1" t="s">
        <v>1</v>
      </c>
    </row>
    <row r="3" spans="1:34" ht="13.5" thickBot="1" x14ac:dyDescent="0.25">
      <c r="A3" s="5"/>
      <c r="B3" s="6" t="s">
        <v>2</v>
      </c>
      <c r="C3" s="6" t="s">
        <v>3</v>
      </c>
      <c r="D3" s="6" t="s">
        <v>4</v>
      </c>
      <c r="E3" s="30" t="s">
        <v>5</v>
      </c>
      <c r="F3" s="30" t="s">
        <v>6</v>
      </c>
      <c r="G3" s="30" t="s">
        <v>7</v>
      </c>
      <c r="H3" s="6" t="s">
        <v>8</v>
      </c>
      <c r="I3" s="6" t="s">
        <v>9</v>
      </c>
      <c r="J3" s="31" t="s">
        <v>10</v>
      </c>
      <c r="K3" s="30" t="s">
        <v>11</v>
      </c>
      <c r="L3" s="6" t="s">
        <v>12</v>
      </c>
      <c r="M3" s="30" t="s">
        <v>13</v>
      </c>
      <c r="N3" s="30" t="s">
        <v>14</v>
      </c>
      <c r="O3" s="30" t="s">
        <v>15</v>
      </c>
      <c r="P3" s="30" t="s">
        <v>16</v>
      </c>
      <c r="Q3" s="30" t="s">
        <v>17</v>
      </c>
      <c r="R3" s="30" t="s">
        <v>18</v>
      </c>
      <c r="S3" s="30" t="s">
        <v>19</v>
      </c>
      <c r="T3" s="6" t="s">
        <v>20</v>
      </c>
      <c r="U3" s="6" t="s">
        <v>21</v>
      </c>
      <c r="V3" s="6" t="s">
        <v>22</v>
      </c>
      <c r="W3" s="30" t="s">
        <v>23</v>
      </c>
      <c r="X3" s="30" t="s">
        <v>24</v>
      </c>
      <c r="Y3" s="30" t="s">
        <v>25</v>
      </c>
      <c r="Z3" s="6" t="s">
        <v>26</v>
      </c>
      <c r="AA3" s="30" t="s">
        <v>27</v>
      </c>
      <c r="AB3" s="6" t="s">
        <v>28</v>
      </c>
      <c r="AC3" s="6" t="s">
        <v>29</v>
      </c>
      <c r="AD3" s="6" t="s">
        <v>30</v>
      </c>
      <c r="AE3" s="6" t="s">
        <v>31</v>
      </c>
      <c r="AF3" s="6" t="s">
        <v>32</v>
      </c>
      <c r="AG3" s="6" t="s">
        <v>33</v>
      </c>
      <c r="AH3" s="6" t="s">
        <v>34</v>
      </c>
    </row>
    <row r="4" spans="1:34" ht="15" customHeight="1" x14ac:dyDescent="0.2"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s="23" customFormat="1" ht="15" customHeight="1" x14ac:dyDescent="0.2">
      <c r="A5" s="20" t="s">
        <v>35</v>
      </c>
      <c r="B5" s="21" t="s">
        <v>36</v>
      </c>
      <c r="C5" s="21" t="s">
        <v>37</v>
      </c>
      <c r="D5" s="22"/>
      <c r="E5" s="22">
        <v>381842.0833</v>
      </c>
      <c r="F5" s="22">
        <v>25331.5</v>
      </c>
      <c r="G5" s="22">
        <v>183520.8333</v>
      </c>
      <c r="H5" s="22">
        <v>25415.833299999998</v>
      </c>
      <c r="I5" s="22">
        <v>9582.5</v>
      </c>
      <c r="J5" s="22">
        <v>0</v>
      </c>
      <c r="K5" s="22">
        <v>1016225.0833000001</v>
      </c>
      <c r="L5" s="22">
        <v>3647.5832999999998</v>
      </c>
      <c r="M5" s="22">
        <v>3506934.75</v>
      </c>
      <c r="N5" s="22">
        <v>800537.4166</v>
      </c>
      <c r="O5" s="22">
        <v>112019.5833</v>
      </c>
      <c r="P5" s="22">
        <v>30542.25</v>
      </c>
      <c r="Q5" s="22">
        <v>175440.25</v>
      </c>
      <c r="R5" s="22">
        <v>702430.9166</v>
      </c>
      <c r="S5" s="22">
        <v>141839</v>
      </c>
      <c r="T5" s="22">
        <v>14755.8333</v>
      </c>
      <c r="U5" s="22">
        <v>5676.0833000000002</v>
      </c>
      <c r="V5" s="22">
        <v>2267.3332999999998</v>
      </c>
      <c r="W5" s="22">
        <v>9380715.9166000001</v>
      </c>
      <c r="X5" s="22">
        <v>70063.583299999998</v>
      </c>
      <c r="Y5" s="22">
        <v>82130.416599999997</v>
      </c>
      <c r="Z5" s="22">
        <v>8773.0833000000002</v>
      </c>
      <c r="AA5" s="22">
        <v>29509</v>
      </c>
      <c r="AB5" s="22">
        <v>3485.1666</v>
      </c>
      <c r="AC5" s="22">
        <v>1167.4166</v>
      </c>
      <c r="AD5" s="22">
        <v>10566.3333</v>
      </c>
      <c r="AE5" s="22">
        <v>143006.44</v>
      </c>
      <c r="AF5" s="22">
        <v>1314</v>
      </c>
      <c r="AG5" s="22">
        <v>0</v>
      </c>
      <c r="AH5" s="22">
        <v>209167.9166</v>
      </c>
    </row>
    <row r="6" spans="1:34" s="23" customFormat="1" ht="15" customHeight="1" x14ac:dyDescent="0.2">
      <c r="A6" s="24"/>
      <c r="B6" s="21" t="s">
        <v>38</v>
      </c>
      <c r="C6" s="21" t="s">
        <v>37</v>
      </c>
      <c r="D6" s="22"/>
      <c r="E6" s="22">
        <v>0</v>
      </c>
      <c r="F6" s="22">
        <v>0</v>
      </c>
      <c r="G6" s="22">
        <v>0</v>
      </c>
      <c r="H6" s="22">
        <v>0</v>
      </c>
      <c r="I6" s="22">
        <v>0</v>
      </c>
      <c r="J6" s="22">
        <v>0</v>
      </c>
      <c r="K6" s="22">
        <v>0</v>
      </c>
      <c r="L6" s="22">
        <v>0</v>
      </c>
      <c r="M6" s="22">
        <v>0</v>
      </c>
      <c r="N6" s="22">
        <v>0</v>
      </c>
      <c r="O6" s="22">
        <v>0</v>
      </c>
      <c r="P6" s="22">
        <v>0</v>
      </c>
      <c r="Q6" s="22">
        <v>0</v>
      </c>
      <c r="R6" s="22">
        <v>0</v>
      </c>
      <c r="S6" s="22">
        <v>0</v>
      </c>
      <c r="T6" s="22">
        <v>0</v>
      </c>
      <c r="U6" s="22">
        <v>0</v>
      </c>
      <c r="V6" s="22">
        <v>0</v>
      </c>
      <c r="W6" s="22">
        <v>0</v>
      </c>
      <c r="X6" s="22">
        <v>0</v>
      </c>
      <c r="Y6" s="22">
        <v>0</v>
      </c>
      <c r="Z6" s="22">
        <v>0</v>
      </c>
      <c r="AA6" s="22">
        <v>0</v>
      </c>
      <c r="AB6" s="22">
        <v>0</v>
      </c>
      <c r="AC6" s="22">
        <v>0</v>
      </c>
      <c r="AD6" s="22">
        <v>0</v>
      </c>
      <c r="AE6" s="22">
        <v>-46276.27</v>
      </c>
      <c r="AF6" s="22">
        <v>0</v>
      </c>
      <c r="AG6" s="22">
        <v>0</v>
      </c>
      <c r="AH6" s="22">
        <v>0</v>
      </c>
    </row>
    <row r="7" spans="1:34" s="23" customFormat="1" ht="15" customHeight="1" x14ac:dyDescent="0.2">
      <c r="A7" s="24"/>
      <c r="B7" s="21" t="s">
        <v>39</v>
      </c>
      <c r="C7" s="21" t="s">
        <v>37</v>
      </c>
      <c r="D7" s="22"/>
      <c r="E7" s="22">
        <v>0</v>
      </c>
      <c r="F7" s="22">
        <v>0</v>
      </c>
      <c r="G7" s="22">
        <v>0</v>
      </c>
      <c r="H7" s="22">
        <v>0</v>
      </c>
      <c r="I7" s="22">
        <v>0</v>
      </c>
      <c r="J7" s="22">
        <v>0</v>
      </c>
      <c r="K7" s="22">
        <v>0</v>
      </c>
      <c r="L7" s="22">
        <v>0</v>
      </c>
      <c r="M7" s="22">
        <v>0</v>
      </c>
      <c r="N7" s="22">
        <v>0</v>
      </c>
      <c r="O7" s="22">
        <v>0</v>
      </c>
      <c r="P7" s="22">
        <v>0</v>
      </c>
      <c r="Q7" s="22">
        <v>0</v>
      </c>
      <c r="R7" s="22">
        <v>0</v>
      </c>
      <c r="S7" s="22">
        <v>0</v>
      </c>
      <c r="T7" s="22">
        <v>0</v>
      </c>
      <c r="U7" s="22">
        <v>0</v>
      </c>
      <c r="V7" s="22">
        <v>0</v>
      </c>
      <c r="W7" s="22">
        <v>0</v>
      </c>
      <c r="X7" s="22">
        <v>0</v>
      </c>
      <c r="Y7" s="22">
        <v>0</v>
      </c>
      <c r="Z7" s="22">
        <v>0</v>
      </c>
      <c r="AA7" s="22">
        <v>0</v>
      </c>
      <c r="AB7" s="22">
        <v>0</v>
      </c>
      <c r="AC7" s="22">
        <v>0</v>
      </c>
      <c r="AD7" s="22">
        <v>0</v>
      </c>
      <c r="AE7" s="22">
        <v>0</v>
      </c>
      <c r="AF7" s="22">
        <v>0</v>
      </c>
      <c r="AG7" s="22">
        <v>0</v>
      </c>
      <c r="AH7" s="22">
        <v>0</v>
      </c>
    </row>
    <row r="8" spans="1:34" s="23" customFormat="1" ht="15" customHeight="1" x14ac:dyDescent="0.2">
      <c r="A8" s="24"/>
      <c r="B8" s="21" t="s">
        <v>40</v>
      </c>
      <c r="C8" s="21" t="s">
        <v>37</v>
      </c>
      <c r="D8" s="22"/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22">
        <v>0</v>
      </c>
      <c r="Q8" s="22">
        <v>0</v>
      </c>
      <c r="R8" s="22">
        <v>0</v>
      </c>
      <c r="S8" s="22">
        <v>0</v>
      </c>
      <c r="T8" s="22">
        <v>0</v>
      </c>
      <c r="U8" s="22">
        <v>0</v>
      </c>
      <c r="V8" s="22">
        <v>0</v>
      </c>
      <c r="W8" s="22">
        <v>0</v>
      </c>
      <c r="X8" s="22">
        <v>0</v>
      </c>
      <c r="Y8" s="22">
        <v>0</v>
      </c>
      <c r="Z8" s="22">
        <v>0</v>
      </c>
      <c r="AA8" s="22">
        <v>0</v>
      </c>
      <c r="AB8" s="22">
        <v>0</v>
      </c>
      <c r="AC8" s="22">
        <v>0</v>
      </c>
      <c r="AD8" s="22">
        <v>0</v>
      </c>
      <c r="AE8" s="22">
        <v>0</v>
      </c>
      <c r="AF8" s="22">
        <v>0</v>
      </c>
      <c r="AG8" s="22">
        <v>0</v>
      </c>
      <c r="AH8" s="22">
        <v>-209167.92</v>
      </c>
    </row>
    <row r="9" spans="1:34" s="23" customFormat="1" ht="15" customHeight="1" x14ac:dyDescent="0.2">
      <c r="A9" s="24"/>
      <c r="B9" s="21" t="s">
        <v>41</v>
      </c>
      <c r="C9" s="21" t="s">
        <v>42</v>
      </c>
      <c r="D9" s="22"/>
      <c r="E9" s="22">
        <v>0</v>
      </c>
      <c r="F9" s="22">
        <v>0</v>
      </c>
      <c r="G9" s="22">
        <v>1</v>
      </c>
      <c r="H9" s="22">
        <v>0</v>
      </c>
      <c r="I9" s="22">
        <v>0</v>
      </c>
      <c r="J9" s="22">
        <v>1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2">
        <v>1</v>
      </c>
      <c r="Q9" s="22">
        <v>0</v>
      </c>
      <c r="R9" s="22">
        <v>0</v>
      </c>
      <c r="S9" s="22">
        <v>0</v>
      </c>
      <c r="T9" s="22">
        <v>0</v>
      </c>
      <c r="U9" s="22">
        <v>0</v>
      </c>
      <c r="V9" s="22">
        <v>0</v>
      </c>
      <c r="W9" s="22">
        <v>0</v>
      </c>
      <c r="X9" s="22">
        <v>0</v>
      </c>
      <c r="Y9" s="22">
        <v>0</v>
      </c>
      <c r="Z9" s="22">
        <v>0</v>
      </c>
      <c r="AA9" s="22">
        <v>0</v>
      </c>
      <c r="AB9" s="22">
        <v>0</v>
      </c>
      <c r="AC9" s="22">
        <v>0</v>
      </c>
      <c r="AD9" s="22">
        <v>1</v>
      </c>
      <c r="AE9" s="22">
        <v>1</v>
      </c>
      <c r="AF9" s="22">
        <v>1</v>
      </c>
      <c r="AG9" s="22">
        <v>1</v>
      </c>
      <c r="AH9" s="22">
        <v>1</v>
      </c>
    </row>
    <row r="10" spans="1:34" s="23" customFormat="1" ht="15" customHeight="1" x14ac:dyDescent="0.2">
      <c r="A10" s="24"/>
      <c r="B10" s="21" t="s">
        <v>43</v>
      </c>
      <c r="C10" s="21" t="s">
        <v>42</v>
      </c>
      <c r="D10" s="22"/>
      <c r="E10" s="22">
        <v>1.0305420320000001</v>
      </c>
      <c r="F10" s="22">
        <v>1.0305420320000001</v>
      </c>
      <c r="G10" s="22">
        <v>1.0305420320000001</v>
      </c>
      <c r="H10" s="22">
        <v>1.0305420320000001</v>
      </c>
      <c r="I10" s="22">
        <v>1.0305420320000001</v>
      </c>
      <c r="J10" s="22">
        <v>1.0305420320000001</v>
      </c>
      <c r="K10" s="22">
        <v>1.0305420320000001</v>
      </c>
      <c r="L10" s="22">
        <v>1.0305420320000001</v>
      </c>
      <c r="M10" s="22">
        <v>1.0305420320000001</v>
      </c>
      <c r="N10" s="22">
        <v>1.0305420320000001</v>
      </c>
      <c r="O10" s="22">
        <v>1.0305420320000001</v>
      </c>
      <c r="P10" s="22">
        <v>1.0305420320000001</v>
      </c>
      <c r="Q10" s="22">
        <v>1.0305420320000001</v>
      </c>
      <c r="R10" s="22">
        <v>1.0305420320000001</v>
      </c>
      <c r="S10" s="22">
        <v>1.0305420320000001</v>
      </c>
      <c r="T10" s="22">
        <v>1.0305420320000001</v>
      </c>
      <c r="U10" s="22">
        <v>1.0305420320000001</v>
      </c>
      <c r="V10" s="22">
        <v>1.0305420320000001</v>
      </c>
      <c r="W10" s="22">
        <v>1.0305420320000001</v>
      </c>
      <c r="X10" s="22">
        <v>1.0305420320000001</v>
      </c>
      <c r="Y10" s="22">
        <v>1.0305420320000001</v>
      </c>
      <c r="Z10" s="22">
        <v>1.0305420320000001</v>
      </c>
      <c r="AA10" s="22">
        <v>1.0305420320000001</v>
      </c>
      <c r="AB10" s="22">
        <v>1.0305420320000001</v>
      </c>
      <c r="AC10" s="22">
        <v>1.0305420320000001</v>
      </c>
      <c r="AD10" s="22">
        <v>1.0305420320000001</v>
      </c>
      <c r="AE10" s="22">
        <v>1.0305420320000001</v>
      </c>
      <c r="AF10" s="22">
        <v>1.0305420320000001</v>
      </c>
      <c r="AG10" s="22">
        <v>1.0305420320000001</v>
      </c>
      <c r="AH10" s="22">
        <v>1.0305420320000001</v>
      </c>
    </row>
    <row r="11" spans="1:34" s="23" customFormat="1" ht="15" customHeight="1" x14ac:dyDescent="0.2">
      <c r="A11" s="24"/>
      <c r="B11" s="20" t="s">
        <v>44</v>
      </c>
      <c r="C11" s="24"/>
      <c r="D11" s="22">
        <f>SUM($E$11:$AH$11)</f>
        <v>332528.6901036491</v>
      </c>
      <c r="E11" s="22">
        <v>0</v>
      </c>
      <c r="F11" s="22">
        <v>0</v>
      </c>
      <c r="G11" s="22">
        <v>189125.93246331529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31475.072376852</v>
      </c>
      <c r="Q11" s="22">
        <v>0</v>
      </c>
      <c r="R11" s="22">
        <v>0</v>
      </c>
      <c r="S11" s="22">
        <v>0</v>
      </c>
      <c r="T11" s="22">
        <v>0</v>
      </c>
      <c r="U11" s="22"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  <c r="AB11" s="22">
        <v>0</v>
      </c>
      <c r="AC11" s="22">
        <v>0</v>
      </c>
      <c r="AD11" s="22">
        <v>10889.050589771266</v>
      </c>
      <c r="AE11" s="22">
        <v>99684.505947505459</v>
      </c>
      <c r="AF11" s="22">
        <v>1354.1322300480001</v>
      </c>
      <c r="AG11" s="22">
        <v>0</v>
      </c>
      <c r="AH11" s="22">
        <v>-3.5038429252600054E-3</v>
      </c>
    </row>
    <row r="12" spans="1:34" s="23" customFormat="1" ht="15" customHeight="1" x14ac:dyDescent="0.2">
      <c r="A12" s="24"/>
      <c r="B12" s="24"/>
      <c r="C12" s="24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</row>
    <row r="13" spans="1:34" s="23" customFormat="1" ht="15" customHeight="1" x14ac:dyDescent="0.2">
      <c r="A13" s="24"/>
      <c r="B13" s="21" t="s">
        <v>36</v>
      </c>
      <c r="C13" s="21" t="s">
        <v>37</v>
      </c>
      <c r="D13" s="22"/>
      <c r="E13" s="22">
        <v>381842.0833</v>
      </c>
      <c r="F13" s="22">
        <v>25331.5</v>
      </c>
      <c r="G13" s="22">
        <v>183520.8333</v>
      </c>
      <c r="H13" s="22">
        <v>25415.833299999998</v>
      </c>
      <c r="I13" s="22">
        <v>9582.5</v>
      </c>
      <c r="J13" s="22">
        <v>0</v>
      </c>
      <c r="K13" s="22">
        <v>1016225.0833000001</v>
      </c>
      <c r="L13" s="22">
        <v>3647.5832999999998</v>
      </c>
      <c r="M13" s="22">
        <v>3506934.75</v>
      </c>
      <c r="N13" s="22">
        <v>800537.4166</v>
      </c>
      <c r="O13" s="22">
        <v>112019.5833</v>
      </c>
      <c r="P13" s="22">
        <v>30542.25</v>
      </c>
      <c r="Q13" s="22">
        <v>175440.25</v>
      </c>
      <c r="R13" s="22">
        <v>702430.9166</v>
      </c>
      <c r="S13" s="22">
        <v>141839</v>
      </c>
      <c r="T13" s="22">
        <v>14755.8333</v>
      </c>
      <c r="U13" s="22">
        <v>5676.0833000000002</v>
      </c>
      <c r="V13" s="22">
        <v>2267.3332999999998</v>
      </c>
      <c r="W13" s="22">
        <v>9380715.9166000001</v>
      </c>
      <c r="X13" s="22">
        <v>70063.583299999998</v>
      </c>
      <c r="Y13" s="22">
        <v>82130.416599999997</v>
      </c>
      <c r="Z13" s="22">
        <v>8773.0833000000002</v>
      </c>
      <c r="AA13" s="22">
        <v>29509</v>
      </c>
      <c r="AB13" s="22">
        <v>3485.1666</v>
      </c>
      <c r="AC13" s="22">
        <v>1167.4166</v>
      </c>
      <c r="AD13" s="22">
        <v>10566.3333</v>
      </c>
      <c r="AE13" s="22">
        <v>143006.44</v>
      </c>
      <c r="AF13" s="22">
        <v>1314</v>
      </c>
      <c r="AG13" s="22">
        <v>0</v>
      </c>
      <c r="AH13" s="22">
        <v>209167.9166</v>
      </c>
    </row>
    <row r="14" spans="1:34" s="23" customFormat="1" ht="15" customHeight="1" x14ac:dyDescent="0.2">
      <c r="A14" s="24"/>
      <c r="B14" s="21" t="s">
        <v>45</v>
      </c>
      <c r="C14" s="21" t="s">
        <v>42</v>
      </c>
      <c r="D14" s="22"/>
      <c r="E14" s="22">
        <v>0.35726598783999997</v>
      </c>
      <c r="F14" s="22">
        <v>4.4174807999999999E-3</v>
      </c>
      <c r="G14" s="22">
        <v>0</v>
      </c>
      <c r="H14" s="22">
        <v>0.15010762075</v>
      </c>
      <c r="I14" s="22">
        <v>0.47466862262000004</v>
      </c>
      <c r="J14" s="22">
        <v>0</v>
      </c>
      <c r="K14" s="22">
        <v>0</v>
      </c>
      <c r="L14" s="22">
        <v>0</v>
      </c>
      <c r="M14" s="22">
        <v>2.4434712500000003E-3</v>
      </c>
      <c r="N14" s="22">
        <v>3.878081546E-2</v>
      </c>
      <c r="O14" s="22">
        <v>0.26759176643999999</v>
      </c>
      <c r="P14" s="22">
        <v>0</v>
      </c>
      <c r="Q14" s="22">
        <v>1.0392828200000001E-2</v>
      </c>
      <c r="R14" s="22">
        <v>3.4253993199999999E-2</v>
      </c>
      <c r="S14" s="22">
        <v>0.32651814295000003</v>
      </c>
      <c r="T14" s="22">
        <v>1</v>
      </c>
      <c r="U14" s="22">
        <v>0</v>
      </c>
      <c r="V14" s="22">
        <v>1</v>
      </c>
      <c r="W14" s="22">
        <v>0</v>
      </c>
      <c r="X14" s="22">
        <v>2.2401397899999998E-3</v>
      </c>
      <c r="Y14" s="22">
        <v>0.10973193984</v>
      </c>
      <c r="Z14" s="22">
        <v>0.40518035021999999</v>
      </c>
      <c r="AA14" s="22">
        <v>0</v>
      </c>
      <c r="AB14" s="22">
        <v>0</v>
      </c>
      <c r="AC14" s="22">
        <v>1</v>
      </c>
      <c r="AD14" s="22">
        <v>0</v>
      </c>
      <c r="AE14" s="22">
        <v>0</v>
      </c>
      <c r="AF14" s="22">
        <v>0</v>
      </c>
      <c r="AG14" s="22">
        <v>0</v>
      </c>
      <c r="AH14" s="22">
        <v>0</v>
      </c>
    </row>
    <row r="15" spans="1:34" s="23" customFormat="1" ht="15" customHeight="1" x14ac:dyDescent="0.2">
      <c r="A15" s="24"/>
      <c r="B15" s="21" t="s">
        <v>46</v>
      </c>
      <c r="C15" s="21" t="s">
        <v>42</v>
      </c>
      <c r="D15" s="22"/>
      <c r="E15" s="22">
        <v>1.056127373</v>
      </c>
      <c r="F15" s="22">
        <v>1.056127373</v>
      </c>
      <c r="G15" s="22">
        <v>1.056127373</v>
      </c>
      <c r="H15" s="22">
        <v>1.056127373</v>
      </c>
      <c r="I15" s="22">
        <v>1.056127373</v>
      </c>
      <c r="J15" s="22">
        <v>1.056127373</v>
      </c>
      <c r="K15" s="22">
        <v>1.056127373</v>
      </c>
      <c r="L15" s="22">
        <v>1.056127373</v>
      </c>
      <c r="M15" s="22">
        <v>1.056127373</v>
      </c>
      <c r="N15" s="22">
        <v>1.056127373</v>
      </c>
      <c r="O15" s="22">
        <v>1.056127373</v>
      </c>
      <c r="P15" s="22">
        <v>1.056127373</v>
      </c>
      <c r="Q15" s="22">
        <v>1.056127373</v>
      </c>
      <c r="R15" s="22">
        <v>1.056127373</v>
      </c>
      <c r="S15" s="22">
        <v>1.056127373</v>
      </c>
      <c r="T15" s="22">
        <v>1.056127373</v>
      </c>
      <c r="U15" s="22">
        <v>1.056127373</v>
      </c>
      <c r="V15" s="22">
        <v>1.056127373</v>
      </c>
      <c r="W15" s="22">
        <v>1.056127373</v>
      </c>
      <c r="X15" s="22">
        <v>1.056127373</v>
      </c>
      <c r="Y15" s="22">
        <v>1.056127373</v>
      </c>
      <c r="Z15" s="22">
        <v>1.056127373</v>
      </c>
      <c r="AA15" s="22">
        <v>1.056127373</v>
      </c>
      <c r="AB15" s="22">
        <v>1.056127373</v>
      </c>
      <c r="AC15" s="22">
        <v>1.056127373</v>
      </c>
      <c r="AD15" s="22">
        <v>1.056127373</v>
      </c>
      <c r="AE15" s="22">
        <v>1.056127373</v>
      </c>
      <c r="AF15" s="22">
        <v>1.056127373</v>
      </c>
      <c r="AG15" s="22">
        <v>1.056127373</v>
      </c>
      <c r="AH15" s="22">
        <v>1.056127373</v>
      </c>
    </row>
    <row r="16" spans="1:34" s="23" customFormat="1" ht="15" customHeight="1" x14ac:dyDescent="0.2">
      <c r="A16" s="24"/>
      <c r="B16" s="20" t="s">
        <v>47</v>
      </c>
      <c r="C16" s="24"/>
      <c r="D16" s="22">
        <f>SUM($E$16:$AH$16)</f>
        <v>335422.62810611469</v>
      </c>
      <c r="E16" s="22">
        <v>144076.03979941717</v>
      </c>
      <c r="F16" s="22">
        <v>118.18214733768937</v>
      </c>
      <c r="G16" s="22">
        <v>0</v>
      </c>
      <c r="H16" s="22">
        <v>4029.2423829798681</v>
      </c>
      <c r="I16" s="22">
        <v>4803.8081101551834</v>
      </c>
      <c r="J16" s="22">
        <v>0</v>
      </c>
      <c r="K16" s="22">
        <v>0</v>
      </c>
      <c r="L16" s="22">
        <v>0</v>
      </c>
      <c r="M16" s="22">
        <v>9050.054985777273</v>
      </c>
      <c r="N16" s="22">
        <v>32787.995833705754</v>
      </c>
      <c r="O16" s="22">
        <v>31657.965260378438</v>
      </c>
      <c r="P16" s="22">
        <v>0</v>
      </c>
      <c r="Q16" s="22">
        <v>1925.6585605479509</v>
      </c>
      <c r="R16" s="22">
        <v>25411.548145649173</v>
      </c>
      <c r="S16" s="22">
        <v>48912.434289671677</v>
      </c>
      <c r="T16" s="22">
        <v>15584.039459554922</v>
      </c>
      <c r="U16" s="22">
        <v>0</v>
      </c>
      <c r="V16" s="22">
        <v>2394.5927618444207</v>
      </c>
      <c r="W16" s="22">
        <v>0</v>
      </c>
      <c r="X16" s="22">
        <v>165.76153661922427</v>
      </c>
      <c r="Y16" s="22">
        <v>9518.1683371555209</v>
      </c>
      <c r="Z16" s="22">
        <v>3754.1958683658427</v>
      </c>
      <c r="AA16" s="22">
        <v>0</v>
      </c>
      <c r="AB16" s="22">
        <v>0</v>
      </c>
      <c r="AC16" s="22">
        <v>1232.9406269545918</v>
      </c>
      <c r="AD16" s="22">
        <v>0</v>
      </c>
      <c r="AE16" s="22">
        <v>0</v>
      </c>
      <c r="AF16" s="22">
        <v>0</v>
      </c>
      <c r="AG16" s="22">
        <v>0</v>
      </c>
      <c r="AH16" s="22">
        <v>0</v>
      </c>
    </row>
    <row r="17" spans="1:34" s="23" customFormat="1" ht="15" customHeight="1" x14ac:dyDescent="0.2">
      <c r="A17" s="24"/>
      <c r="B17" s="24"/>
      <c r="C17" s="24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</row>
    <row r="18" spans="1:34" s="23" customFormat="1" ht="15" customHeight="1" x14ac:dyDescent="0.2">
      <c r="A18" s="24"/>
      <c r="B18" s="21" t="s">
        <v>36</v>
      </c>
      <c r="C18" s="21" t="s">
        <v>37</v>
      </c>
      <c r="D18" s="22"/>
      <c r="E18" s="22">
        <v>381842.0833</v>
      </c>
      <c r="F18" s="22">
        <v>25331.5</v>
      </c>
      <c r="G18" s="22">
        <v>183520.8333</v>
      </c>
      <c r="H18" s="22">
        <v>25415.833299999998</v>
      </c>
      <c r="I18" s="22">
        <v>9582.5</v>
      </c>
      <c r="J18" s="22">
        <v>0</v>
      </c>
      <c r="K18" s="22">
        <v>1016225.0833000001</v>
      </c>
      <c r="L18" s="22">
        <v>3647.5832999999998</v>
      </c>
      <c r="M18" s="22">
        <v>3506934.75</v>
      </c>
      <c r="N18" s="22">
        <v>800537.4166</v>
      </c>
      <c r="O18" s="22">
        <v>112019.5833</v>
      </c>
      <c r="P18" s="22">
        <v>30542.25</v>
      </c>
      <c r="Q18" s="22">
        <v>175440.25</v>
      </c>
      <c r="R18" s="22">
        <v>702430.9166</v>
      </c>
      <c r="S18" s="22">
        <v>141839</v>
      </c>
      <c r="T18" s="22">
        <v>14755.8333</v>
      </c>
      <c r="U18" s="22">
        <v>5676.0833000000002</v>
      </c>
      <c r="V18" s="22">
        <v>2267.3332999999998</v>
      </c>
      <c r="W18" s="22">
        <v>9380715.9166000001</v>
      </c>
      <c r="X18" s="22">
        <v>70063.583299999998</v>
      </c>
      <c r="Y18" s="22">
        <v>82130.416599999997</v>
      </c>
      <c r="Z18" s="22">
        <v>8773.0833000000002</v>
      </c>
      <c r="AA18" s="22">
        <v>29509</v>
      </c>
      <c r="AB18" s="22">
        <v>3485.1666</v>
      </c>
      <c r="AC18" s="22">
        <v>1167.4166</v>
      </c>
      <c r="AD18" s="22">
        <v>10566.3333</v>
      </c>
      <c r="AE18" s="22">
        <v>143006.44</v>
      </c>
      <c r="AF18" s="22">
        <v>1314</v>
      </c>
      <c r="AG18" s="22">
        <v>0</v>
      </c>
      <c r="AH18" s="22">
        <v>209167.9166</v>
      </c>
    </row>
    <row r="19" spans="1:34" s="23" customFormat="1" ht="15" customHeight="1" x14ac:dyDescent="0.2">
      <c r="A19" s="24"/>
      <c r="B19" s="21" t="s">
        <v>48</v>
      </c>
      <c r="C19" s="21" t="s">
        <v>42</v>
      </c>
      <c r="D19" s="22"/>
      <c r="E19" s="22">
        <v>0.64273401215000003</v>
      </c>
      <c r="F19" s="22">
        <v>0.99558251918999996</v>
      </c>
      <c r="G19" s="22">
        <v>0</v>
      </c>
      <c r="H19" s="22">
        <v>0.84989237924000005</v>
      </c>
      <c r="I19" s="22">
        <v>0.52533137737000002</v>
      </c>
      <c r="J19" s="22">
        <v>0</v>
      </c>
      <c r="K19" s="22">
        <v>1</v>
      </c>
      <c r="L19" s="22">
        <v>1</v>
      </c>
      <c r="M19" s="22">
        <v>0.99755652874</v>
      </c>
      <c r="N19" s="22">
        <v>0.96121918452999999</v>
      </c>
      <c r="O19" s="22">
        <v>0.73240823354999995</v>
      </c>
      <c r="P19" s="22">
        <v>0</v>
      </c>
      <c r="Q19" s="22">
        <v>0.98960717179000002</v>
      </c>
      <c r="R19" s="22">
        <v>0.96574600679</v>
      </c>
      <c r="S19" s="22">
        <v>0.67348185703999996</v>
      </c>
      <c r="T19" s="22">
        <v>0</v>
      </c>
      <c r="U19" s="22">
        <v>1</v>
      </c>
      <c r="V19" s="22">
        <v>0</v>
      </c>
      <c r="W19" s="22">
        <v>1</v>
      </c>
      <c r="X19" s="22">
        <v>0.99775986019999996</v>
      </c>
      <c r="Y19" s="22">
        <v>0.89026806015000004</v>
      </c>
      <c r="Z19" s="22">
        <v>0.59481964977000001</v>
      </c>
      <c r="AA19" s="22">
        <v>1</v>
      </c>
      <c r="AB19" s="22">
        <v>1</v>
      </c>
      <c r="AC19" s="22">
        <v>0</v>
      </c>
      <c r="AD19" s="22">
        <v>0</v>
      </c>
      <c r="AE19" s="22">
        <v>0</v>
      </c>
      <c r="AF19" s="22">
        <v>0</v>
      </c>
      <c r="AG19" s="22">
        <v>0</v>
      </c>
      <c r="AH19" s="22">
        <v>0</v>
      </c>
    </row>
    <row r="20" spans="1:34" s="23" customFormat="1" ht="15" customHeight="1" x14ac:dyDescent="0.2">
      <c r="A20" s="24"/>
      <c r="B20" s="21" t="s">
        <v>49</v>
      </c>
      <c r="C20" s="21" t="s">
        <v>42</v>
      </c>
      <c r="D20" s="22"/>
      <c r="E20" s="22">
        <v>1.0857752949999999</v>
      </c>
      <c r="F20" s="22">
        <v>1.0857752949999999</v>
      </c>
      <c r="G20" s="22">
        <v>1.0857752949999999</v>
      </c>
      <c r="H20" s="22">
        <v>1.0857752949999999</v>
      </c>
      <c r="I20" s="22">
        <v>1.0857752949999999</v>
      </c>
      <c r="J20" s="22">
        <v>1.0857752949999999</v>
      </c>
      <c r="K20" s="22">
        <v>1.0857752949999999</v>
      </c>
      <c r="L20" s="22">
        <v>1.0857752949999999</v>
      </c>
      <c r="M20" s="22">
        <v>1.0857752949999999</v>
      </c>
      <c r="N20" s="22">
        <v>1.0857752949999999</v>
      </c>
      <c r="O20" s="22">
        <v>1.0857752949999999</v>
      </c>
      <c r="P20" s="22">
        <v>1.0857752949999999</v>
      </c>
      <c r="Q20" s="22">
        <v>1.0857752949999999</v>
      </c>
      <c r="R20" s="22">
        <v>1.0857752949999999</v>
      </c>
      <c r="S20" s="22">
        <v>1.0857752949999999</v>
      </c>
      <c r="T20" s="22">
        <v>1.0857752949999999</v>
      </c>
      <c r="U20" s="22">
        <v>1.0857752949999999</v>
      </c>
      <c r="V20" s="22">
        <v>1.0857752949999999</v>
      </c>
      <c r="W20" s="22">
        <v>1.0857752949999999</v>
      </c>
      <c r="X20" s="22">
        <v>1.0857752949999999</v>
      </c>
      <c r="Y20" s="22">
        <v>1.0857752949999999</v>
      </c>
      <c r="Z20" s="22">
        <v>1.0857752949999999</v>
      </c>
      <c r="AA20" s="22">
        <v>1.0857752949999999</v>
      </c>
      <c r="AB20" s="22">
        <v>1.0857752949999999</v>
      </c>
      <c r="AC20" s="22">
        <v>1.0857752949999999</v>
      </c>
      <c r="AD20" s="22">
        <v>1.0857752949999999</v>
      </c>
      <c r="AE20" s="22">
        <v>1.0857752949999999</v>
      </c>
      <c r="AF20" s="22">
        <v>1.0857752949999999</v>
      </c>
      <c r="AG20" s="22">
        <v>1.0857752949999999</v>
      </c>
      <c r="AH20" s="22">
        <v>1.0857752949999999</v>
      </c>
    </row>
    <row r="21" spans="1:34" s="23" customFormat="1" ht="15" customHeight="1" x14ac:dyDescent="0.2">
      <c r="A21" s="24"/>
      <c r="B21" s="20" t="s">
        <v>50</v>
      </c>
      <c r="C21" s="24"/>
      <c r="D21" s="22">
        <f>SUM($E$21:$AH$21)</f>
        <v>17570226.003781293</v>
      </c>
      <c r="E21" s="22">
        <v>266474.11535749334</v>
      </c>
      <c r="F21" s="22">
        <v>27382.817093259557</v>
      </c>
      <c r="G21" s="22">
        <v>0</v>
      </c>
      <c r="H21" s="22">
        <v>23453.531424133493</v>
      </c>
      <c r="I21" s="22">
        <v>5465.7797228253721</v>
      </c>
      <c r="J21" s="22">
        <v>0</v>
      </c>
      <c r="K21" s="22">
        <v>1103392.0896064572</v>
      </c>
      <c r="L21" s="22">
        <v>3960.4558335945731</v>
      </c>
      <c r="M21" s="22">
        <v>3798439.0018655895</v>
      </c>
      <c r="N21" s="22">
        <v>835495.31944571913</v>
      </c>
      <c r="O21" s="22">
        <v>89081.419017092892</v>
      </c>
      <c r="P21" s="22">
        <v>0</v>
      </c>
      <c r="Q21" s="22">
        <v>188508.97297583436</v>
      </c>
      <c r="R21" s="22">
        <v>736557.22699122364</v>
      </c>
      <c r="S21" s="22">
        <v>103719.76336079226</v>
      </c>
      <c r="T21" s="22">
        <v>0</v>
      </c>
      <c r="U21" s="22">
        <v>6162.951019502073</v>
      </c>
      <c r="V21" s="22">
        <v>0</v>
      </c>
      <c r="W21" s="22">
        <v>10185349.59165756</v>
      </c>
      <c r="X21" s="22">
        <v>75902.892981735175</v>
      </c>
      <c r="Y21" s="22">
        <v>79389.812119387352</v>
      </c>
      <c r="Z21" s="22">
        <v>5666.0123357003222</v>
      </c>
      <c r="AA21" s="22">
        <v>32040.143180154999</v>
      </c>
      <c r="AB21" s="22">
        <v>3784.1077932391468</v>
      </c>
      <c r="AC21" s="22">
        <v>0</v>
      </c>
      <c r="AD21" s="22">
        <v>0</v>
      </c>
      <c r="AE21" s="22">
        <v>0</v>
      </c>
      <c r="AF21" s="22">
        <v>0</v>
      </c>
      <c r="AG21" s="22">
        <v>0</v>
      </c>
      <c r="AH21" s="22">
        <v>0</v>
      </c>
    </row>
    <row r="22" spans="1:34" s="23" customFormat="1" ht="15" customHeight="1" x14ac:dyDescent="0.2">
      <c r="A22" s="24"/>
      <c r="B22" s="24"/>
      <c r="C22" s="24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</row>
    <row r="23" spans="1:34" s="23" customFormat="1" ht="15" customHeight="1" x14ac:dyDescent="0.2">
      <c r="A23" s="24"/>
      <c r="B23" s="21" t="s">
        <v>44</v>
      </c>
      <c r="C23" s="21" t="s">
        <v>37</v>
      </c>
      <c r="D23" s="22"/>
      <c r="E23" s="22">
        <v>0</v>
      </c>
      <c r="F23" s="22">
        <v>0</v>
      </c>
      <c r="G23" s="22">
        <v>189125.93246331529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31475.072376852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B23" s="22">
        <v>0</v>
      </c>
      <c r="AC23" s="22">
        <v>0</v>
      </c>
      <c r="AD23" s="22">
        <v>10889.050589771266</v>
      </c>
      <c r="AE23" s="22">
        <v>99684.505947505459</v>
      </c>
      <c r="AF23" s="22">
        <v>1354.1322300480001</v>
      </c>
      <c r="AG23" s="22">
        <v>0</v>
      </c>
      <c r="AH23" s="22">
        <v>-3.5038429252600054E-3</v>
      </c>
    </row>
    <row r="24" spans="1:34" s="23" customFormat="1" ht="15" customHeight="1" x14ac:dyDescent="0.2">
      <c r="A24" s="24"/>
      <c r="B24" s="21" t="s">
        <v>47</v>
      </c>
      <c r="C24" s="21" t="s">
        <v>37</v>
      </c>
      <c r="D24" s="22"/>
      <c r="E24" s="22">
        <v>144076.03979941717</v>
      </c>
      <c r="F24" s="22">
        <v>118.18214733768937</v>
      </c>
      <c r="G24" s="22">
        <v>0</v>
      </c>
      <c r="H24" s="22">
        <v>4029.2423829798681</v>
      </c>
      <c r="I24" s="22">
        <v>4803.8081101551834</v>
      </c>
      <c r="J24" s="22">
        <v>0</v>
      </c>
      <c r="K24" s="22">
        <v>0</v>
      </c>
      <c r="L24" s="22">
        <v>0</v>
      </c>
      <c r="M24" s="22">
        <v>9050.054985777273</v>
      </c>
      <c r="N24" s="22">
        <v>32787.995833705754</v>
      </c>
      <c r="O24" s="22">
        <v>31657.965260378438</v>
      </c>
      <c r="P24" s="22">
        <v>0</v>
      </c>
      <c r="Q24" s="22">
        <v>1925.6585605479509</v>
      </c>
      <c r="R24" s="22">
        <v>25411.548145649173</v>
      </c>
      <c r="S24" s="22">
        <v>48912.434289671677</v>
      </c>
      <c r="T24" s="22">
        <v>15584.039459554922</v>
      </c>
      <c r="U24" s="22">
        <v>0</v>
      </c>
      <c r="V24" s="22">
        <v>2394.5927618444207</v>
      </c>
      <c r="W24" s="22">
        <v>0</v>
      </c>
      <c r="X24" s="22">
        <v>165.76153661922427</v>
      </c>
      <c r="Y24" s="22">
        <v>9518.1683371555209</v>
      </c>
      <c r="Z24" s="22">
        <v>3754.1958683658427</v>
      </c>
      <c r="AA24" s="22">
        <v>0</v>
      </c>
      <c r="AB24" s="22">
        <v>0</v>
      </c>
      <c r="AC24" s="22">
        <v>1232.9406269545918</v>
      </c>
      <c r="AD24" s="22">
        <v>0</v>
      </c>
      <c r="AE24" s="22">
        <v>0</v>
      </c>
      <c r="AF24" s="22">
        <v>0</v>
      </c>
      <c r="AG24" s="22">
        <v>0</v>
      </c>
      <c r="AH24" s="22">
        <v>0</v>
      </c>
    </row>
    <row r="25" spans="1:34" s="23" customFormat="1" ht="15" customHeight="1" x14ac:dyDescent="0.2">
      <c r="A25" s="24"/>
      <c r="B25" s="21" t="s">
        <v>50</v>
      </c>
      <c r="C25" s="21" t="s">
        <v>37</v>
      </c>
      <c r="D25" s="22"/>
      <c r="E25" s="22">
        <v>266474.11535749334</v>
      </c>
      <c r="F25" s="22">
        <v>27382.817093259557</v>
      </c>
      <c r="G25" s="22">
        <v>0</v>
      </c>
      <c r="H25" s="22">
        <v>23453.531424133493</v>
      </c>
      <c r="I25" s="22">
        <v>5465.7797228253721</v>
      </c>
      <c r="J25" s="22">
        <v>0</v>
      </c>
      <c r="K25" s="22">
        <v>1103392.0896064572</v>
      </c>
      <c r="L25" s="22">
        <v>3960.4558335945731</v>
      </c>
      <c r="M25" s="22">
        <v>3798439.0018655895</v>
      </c>
      <c r="N25" s="22">
        <v>835495.31944571913</v>
      </c>
      <c r="O25" s="22">
        <v>89081.419017092892</v>
      </c>
      <c r="P25" s="22">
        <v>0</v>
      </c>
      <c r="Q25" s="22">
        <v>188508.97297583436</v>
      </c>
      <c r="R25" s="22">
        <v>736557.22699122364</v>
      </c>
      <c r="S25" s="22">
        <v>103719.76336079226</v>
      </c>
      <c r="T25" s="22">
        <v>0</v>
      </c>
      <c r="U25" s="22">
        <v>6162.951019502073</v>
      </c>
      <c r="V25" s="22">
        <v>0</v>
      </c>
      <c r="W25" s="22">
        <v>10185349.59165756</v>
      </c>
      <c r="X25" s="22">
        <v>75902.892981735175</v>
      </c>
      <c r="Y25" s="22">
        <v>79389.812119387352</v>
      </c>
      <c r="Z25" s="22">
        <v>5666.0123357003222</v>
      </c>
      <c r="AA25" s="22">
        <v>32040.143180154999</v>
      </c>
      <c r="AB25" s="22">
        <v>3784.1077932391468</v>
      </c>
      <c r="AC25" s="22">
        <v>0</v>
      </c>
      <c r="AD25" s="22">
        <v>0</v>
      </c>
      <c r="AE25" s="22">
        <v>0</v>
      </c>
      <c r="AF25" s="22">
        <v>0</v>
      </c>
      <c r="AG25" s="22">
        <v>0</v>
      </c>
      <c r="AH25" s="22">
        <v>0</v>
      </c>
    </row>
    <row r="26" spans="1:34" s="23" customFormat="1" ht="15" customHeight="1" x14ac:dyDescent="0.2">
      <c r="A26" s="24"/>
      <c r="B26" s="20" t="s">
        <v>51</v>
      </c>
      <c r="C26" s="24"/>
      <c r="D26" s="22">
        <f>SUM($E$26:$AH$26)</f>
        <v>18238177.321991049</v>
      </c>
      <c r="E26" s="22">
        <v>410550.15515691054</v>
      </c>
      <c r="F26" s="22">
        <v>27500.999240597244</v>
      </c>
      <c r="G26" s="22">
        <v>189125.93246331529</v>
      </c>
      <c r="H26" s="22">
        <v>27482.773807113361</v>
      </c>
      <c r="I26" s="22">
        <v>10269.587832980556</v>
      </c>
      <c r="J26" s="22">
        <v>0</v>
      </c>
      <c r="K26" s="22">
        <v>1103392.0896064572</v>
      </c>
      <c r="L26" s="22">
        <v>3960.4558335945731</v>
      </c>
      <c r="M26" s="22">
        <v>3807489.056851367</v>
      </c>
      <c r="N26" s="22">
        <v>868283.31527942489</v>
      </c>
      <c r="O26" s="22">
        <v>120739.38427747133</v>
      </c>
      <c r="P26" s="22">
        <v>31475.072376852</v>
      </c>
      <c r="Q26" s="22">
        <v>190434.63153638231</v>
      </c>
      <c r="R26" s="22">
        <v>761968.77513687278</v>
      </c>
      <c r="S26" s="22">
        <v>152632.19765046393</v>
      </c>
      <c r="T26" s="22">
        <v>15584.039459554922</v>
      </c>
      <c r="U26" s="22">
        <v>6162.951019502073</v>
      </c>
      <c r="V26" s="22">
        <v>2394.5927618444207</v>
      </c>
      <c r="W26" s="22">
        <v>10185349.59165756</v>
      </c>
      <c r="X26" s="22">
        <v>76068.654518354393</v>
      </c>
      <c r="Y26" s="22">
        <v>88907.980456542879</v>
      </c>
      <c r="Z26" s="22">
        <v>9420.2082040661644</v>
      </c>
      <c r="AA26" s="22">
        <v>32040.143180154999</v>
      </c>
      <c r="AB26" s="22">
        <v>3784.1077932391468</v>
      </c>
      <c r="AC26" s="22">
        <v>1232.9406269545918</v>
      </c>
      <c r="AD26" s="22">
        <v>10889.050589771266</v>
      </c>
      <c r="AE26" s="22">
        <v>99684.505947505459</v>
      </c>
      <c r="AF26" s="22">
        <v>1354.1322300480001</v>
      </c>
      <c r="AG26" s="22">
        <v>0</v>
      </c>
      <c r="AH26" s="22">
        <v>-3.5038429252600054E-3</v>
      </c>
    </row>
    <row r="27" spans="1:34" ht="15" customHeight="1" x14ac:dyDescent="0.2"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</row>
    <row r="28" spans="1:34" ht="15" customHeight="1" x14ac:dyDescent="0.2"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</row>
    <row r="29" spans="1:34" ht="15" customHeight="1" x14ac:dyDescent="0.2"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</row>
    <row r="30" spans="1:34" ht="15" customHeight="1" x14ac:dyDescent="0.2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</row>
    <row r="31" spans="1:34" s="28" customFormat="1" ht="15" customHeight="1" x14ac:dyDescent="0.2">
      <c r="A31" s="25" t="s">
        <v>52</v>
      </c>
      <c r="B31" s="26" t="s">
        <v>36</v>
      </c>
      <c r="C31" s="26" t="s">
        <v>37</v>
      </c>
      <c r="D31" s="27">
        <f>SUM(E31:AH31)</f>
        <v>16934901.665800001</v>
      </c>
      <c r="E31" s="27">
        <v>381842.0833</v>
      </c>
      <c r="F31" s="27">
        <v>25331.5</v>
      </c>
      <c r="G31" s="27">
        <v>183520.8333</v>
      </c>
      <c r="H31" s="27">
        <v>25415.833299999998</v>
      </c>
      <c r="I31" s="27">
        <v>9582.5</v>
      </c>
      <c r="J31" s="27">
        <v>0</v>
      </c>
      <c r="K31" s="27">
        <v>1016225.0833000001</v>
      </c>
      <c r="L31" s="27">
        <v>3647.5832999999998</v>
      </c>
      <c r="M31" s="27">
        <v>3506934.75</v>
      </c>
      <c r="N31" s="27">
        <v>800537.4166</v>
      </c>
      <c r="O31" s="27">
        <v>112019.5833</v>
      </c>
      <c r="P31" s="27">
        <v>30542.25</v>
      </c>
      <c r="Q31" s="27">
        <v>175440.25</v>
      </c>
      <c r="R31" s="27">
        <v>702430.9166</v>
      </c>
      <c r="S31" s="27">
        <v>141839</v>
      </c>
      <c r="T31" s="27">
        <v>14755.8333</v>
      </c>
      <c r="U31" s="27">
        <v>5676.0833000000002</v>
      </c>
      <c r="V31" s="27">
        <v>2267.3332999999998</v>
      </c>
      <c r="W31" s="27">
        <v>9380715.9166000001</v>
      </c>
      <c r="X31" s="27">
        <v>70063.583299999998</v>
      </c>
      <c r="Y31" s="27">
        <v>82130.416599999997</v>
      </c>
      <c r="Z31" s="27">
        <v>8773.0833000000002</v>
      </c>
      <c r="AA31" s="27">
        <v>29509</v>
      </c>
      <c r="AB31" s="27">
        <v>3485.1666</v>
      </c>
      <c r="AC31" s="27">
        <v>1167.4166</v>
      </c>
      <c r="AD31" s="27">
        <v>10566.3333</v>
      </c>
      <c r="AE31" s="27">
        <v>0</v>
      </c>
      <c r="AF31" s="27">
        <v>1314</v>
      </c>
      <c r="AG31" s="27">
        <v>0</v>
      </c>
      <c r="AH31" s="27">
        <v>209167.9166</v>
      </c>
    </row>
    <row r="32" spans="1:34" s="28" customFormat="1" ht="15" customHeight="1" x14ac:dyDescent="0.2">
      <c r="A32" s="29"/>
      <c r="B32" s="26" t="s">
        <v>38</v>
      </c>
      <c r="C32" s="26" t="s">
        <v>37</v>
      </c>
      <c r="D32" s="27"/>
      <c r="E32" s="27">
        <v>0</v>
      </c>
      <c r="F32" s="27">
        <v>0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S32" s="27">
        <v>0</v>
      </c>
      <c r="T32" s="27">
        <v>0</v>
      </c>
      <c r="U32" s="27">
        <v>0</v>
      </c>
      <c r="V32" s="27">
        <v>0</v>
      </c>
      <c r="W32" s="27">
        <v>0</v>
      </c>
      <c r="X32" s="27">
        <v>0</v>
      </c>
      <c r="Y32" s="27">
        <v>0</v>
      </c>
      <c r="Z32" s="27">
        <v>0</v>
      </c>
      <c r="AA32" s="27">
        <v>0</v>
      </c>
      <c r="AB32" s="27">
        <v>0</v>
      </c>
      <c r="AC32" s="27">
        <v>0</v>
      </c>
      <c r="AD32" s="27">
        <v>0</v>
      </c>
      <c r="AE32" s="27">
        <v>0</v>
      </c>
      <c r="AF32" s="27">
        <v>0</v>
      </c>
      <c r="AG32" s="27">
        <v>0</v>
      </c>
      <c r="AH32" s="27">
        <v>0</v>
      </c>
    </row>
    <row r="33" spans="1:34" s="28" customFormat="1" ht="15" customHeight="1" x14ac:dyDescent="0.2">
      <c r="A33" s="29"/>
      <c r="B33" s="26" t="s">
        <v>41</v>
      </c>
      <c r="C33" s="26" t="s">
        <v>42</v>
      </c>
      <c r="D33" s="27"/>
      <c r="E33" s="27">
        <v>0</v>
      </c>
      <c r="F33" s="27">
        <v>0</v>
      </c>
      <c r="G33" s="27">
        <v>1</v>
      </c>
      <c r="H33" s="27">
        <v>0</v>
      </c>
      <c r="I33" s="27">
        <v>0</v>
      </c>
      <c r="J33" s="27">
        <v>1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1</v>
      </c>
      <c r="Q33" s="27">
        <v>0</v>
      </c>
      <c r="R33" s="27">
        <v>0</v>
      </c>
      <c r="S33" s="27">
        <v>0</v>
      </c>
      <c r="T33" s="27">
        <v>0</v>
      </c>
      <c r="U33" s="27">
        <v>0</v>
      </c>
      <c r="V33" s="27">
        <v>0</v>
      </c>
      <c r="W33" s="27">
        <v>0</v>
      </c>
      <c r="X33" s="27">
        <v>0</v>
      </c>
      <c r="Y33" s="27">
        <v>0</v>
      </c>
      <c r="Z33" s="27">
        <v>0</v>
      </c>
      <c r="AA33" s="27">
        <v>0</v>
      </c>
      <c r="AB33" s="27">
        <v>0</v>
      </c>
      <c r="AC33" s="27">
        <v>0</v>
      </c>
      <c r="AD33" s="27">
        <v>1</v>
      </c>
      <c r="AE33" s="27">
        <v>1</v>
      </c>
      <c r="AF33" s="27">
        <v>1</v>
      </c>
      <c r="AG33" s="27">
        <v>1</v>
      </c>
      <c r="AH33" s="27">
        <v>1</v>
      </c>
    </row>
    <row r="34" spans="1:34" s="28" customFormat="1" ht="15" customHeight="1" x14ac:dyDescent="0.2">
      <c r="A34" s="29"/>
      <c r="B34" s="26" t="s">
        <v>43</v>
      </c>
      <c r="C34" s="26" t="s">
        <v>42</v>
      </c>
      <c r="D34" s="27"/>
      <c r="E34" s="27">
        <v>1.0305420320000001</v>
      </c>
      <c r="F34" s="27">
        <v>1.0305420320000001</v>
      </c>
      <c r="G34" s="27">
        <v>1.0305420320000001</v>
      </c>
      <c r="H34" s="27">
        <v>1.0305420320000001</v>
      </c>
      <c r="I34" s="27">
        <v>1.0305420320000001</v>
      </c>
      <c r="J34" s="27">
        <v>1.0305420320000001</v>
      </c>
      <c r="K34" s="27">
        <v>1.0305420320000001</v>
      </c>
      <c r="L34" s="27">
        <v>1.0305420320000001</v>
      </c>
      <c r="M34" s="27">
        <v>1.0305420320000001</v>
      </c>
      <c r="N34" s="27">
        <v>1.0305420320000001</v>
      </c>
      <c r="O34" s="27">
        <v>1.0305420320000001</v>
      </c>
      <c r="P34" s="27">
        <v>1.0305420320000001</v>
      </c>
      <c r="Q34" s="27">
        <v>1.0305420320000001</v>
      </c>
      <c r="R34" s="27">
        <v>1.0305420320000001</v>
      </c>
      <c r="S34" s="27">
        <v>1.0305420320000001</v>
      </c>
      <c r="T34" s="27">
        <v>1.0305420320000001</v>
      </c>
      <c r="U34" s="27">
        <v>1.0305420320000001</v>
      </c>
      <c r="V34" s="27">
        <v>1.0305420320000001</v>
      </c>
      <c r="W34" s="27">
        <v>1.0305420320000001</v>
      </c>
      <c r="X34" s="27">
        <v>1.0305420320000001</v>
      </c>
      <c r="Y34" s="27">
        <v>1.0305420320000001</v>
      </c>
      <c r="Z34" s="27">
        <v>1.0305420320000001</v>
      </c>
      <c r="AA34" s="27">
        <v>1.0305420320000001</v>
      </c>
      <c r="AB34" s="27">
        <v>1.0305420320000001</v>
      </c>
      <c r="AC34" s="27">
        <v>1.0305420320000001</v>
      </c>
      <c r="AD34" s="27">
        <v>1.0305420320000001</v>
      </c>
      <c r="AE34" s="27">
        <v>1.0305420320000001</v>
      </c>
      <c r="AF34" s="27">
        <v>1.0305420320000001</v>
      </c>
      <c r="AG34" s="27">
        <v>1.0305420320000001</v>
      </c>
      <c r="AH34" s="27">
        <v>1.0305420320000001</v>
      </c>
    </row>
    <row r="35" spans="1:34" s="28" customFormat="1" ht="15" customHeight="1" x14ac:dyDescent="0.2">
      <c r="A35" s="29"/>
      <c r="B35" s="25" t="s">
        <v>44</v>
      </c>
      <c r="C35" s="29"/>
      <c r="D35" s="27">
        <f>SUM($E$35:$AH$35)</f>
        <v>448400.51746215712</v>
      </c>
      <c r="E35" s="27">
        <v>0</v>
      </c>
      <c r="F35" s="27">
        <v>0</v>
      </c>
      <c r="G35" s="27">
        <v>189125.93246331529</v>
      </c>
      <c r="H35" s="27">
        <v>0</v>
      </c>
      <c r="I35" s="27">
        <v>0</v>
      </c>
      <c r="J35" s="27">
        <v>0</v>
      </c>
      <c r="K35" s="27">
        <v>0</v>
      </c>
      <c r="L35" s="27">
        <v>0</v>
      </c>
      <c r="M35" s="27">
        <v>0</v>
      </c>
      <c r="N35" s="27">
        <v>0</v>
      </c>
      <c r="O35" s="27">
        <v>0</v>
      </c>
      <c r="P35" s="27">
        <v>31475.072376852</v>
      </c>
      <c r="Q35" s="27">
        <v>0</v>
      </c>
      <c r="R35" s="27">
        <v>0</v>
      </c>
      <c r="S35" s="27">
        <v>0</v>
      </c>
      <c r="T35" s="27">
        <v>0</v>
      </c>
      <c r="U35" s="27">
        <v>0</v>
      </c>
      <c r="V35" s="27">
        <v>0</v>
      </c>
      <c r="W35" s="27">
        <v>0</v>
      </c>
      <c r="X35" s="27">
        <v>0</v>
      </c>
      <c r="Y35" s="27">
        <v>0</v>
      </c>
      <c r="Z35" s="27">
        <v>0</v>
      </c>
      <c r="AA35" s="27">
        <v>0</v>
      </c>
      <c r="AB35" s="27">
        <v>0</v>
      </c>
      <c r="AC35" s="27">
        <v>0</v>
      </c>
      <c r="AD35" s="27">
        <v>10889.050589771266</v>
      </c>
      <c r="AE35" s="27">
        <v>0</v>
      </c>
      <c r="AF35" s="27">
        <v>1354.1322300480001</v>
      </c>
      <c r="AG35" s="27">
        <v>0</v>
      </c>
      <c r="AH35" s="27">
        <v>215556.32980217054</v>
      </c>
    </row>
    <row r="36" spans="1:34" s="28" customFormat="1" ht="15" customHeight="1" x14ac:dyDescent="0.2">
      <c r="A36" s="29"/>
      <c r="B36" s="29"/>
      <c r="C36" s="29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</row>
    <row r="37" spans="1:34" s="28" customFormat="1" ht="15" customHeight="1" x14ac:dyDescent="0.2">
      <c r="A37" s="29"/>
      <c r="B37" s="26" t="s">
        <v>36</v>
      </c>
      <c r="C37" s="26" t="s">
        <v>37</v>
      </c>
      <c r="D37" s="27"/>
      <c r="E37" s="27">
        <v>381842.0833</v>
      </c>
      <c r="F37" s="27">
        <v>25331.5</v>
      </c>
      <c r="G37" s="27">
        <v>183520.8333</v>
      </c>
      <c r="H37" s="27">
        <v>25415.833299999998</v>
      </c>
      <c r="I37" s="27">
        <v>9582.5</v>
      </c>
      <c r="J37" s="27">
        <v>0</v>
      </c>
      <c r="K37" s="27">
        <v>1016225.0833000001</v>
      </c>
      <c r="L37" s="27">
        <v>3647.5832999999998</v>
      </c>
      <c r="M37" s="27">
        <v>3506934.75</v>
      </c>
      <c r="N37" s="27">
        <v>800537.4166</v>
      </c>
      <c r="O37" s="27">
        <v>112019.5833</v>
      </c>
      <c r="P37" s="27">
        <v>30542.25</v>
      </c>
      <c r="Q37" s="27">
        <v>175440.25</v>
      </c>
      <c r="R37" s="27">
        <v>702430.9166</v>
      </c>
      <c r="S37" s="27">
        <v>141839</v>
      </c>
      <c r="T37" s="27">
        <v>14755.8333</v>
      </c>
      <c r="U37" s="27">
        <v>5676.0833000000002</v>
      </c>
      <c r="V37" s="27">
        <v>2267.3332999999998</v>
      </c>
      <c r="W37" s="27">
        <v>9380715.9166000001</v>
      </c>
      <c r="X37" s="27">
        <v>70063.583299999998</v>
      </c>
      <c r="Y37" s="27">
        <v>82130.416599999997</v>
      </c>
      <c r="Z37" s="27">
        <v>8773.0833000000002</v>
      </c>
      <c r="AA37" s="27">
        <v>29509</v>
      </c>
      <c r="AB37" s="27">
        <v>3485.1666</v>
      </c>
      <c r="AC37" s="27">
        <v>1167.4166</v>
      </c>
      <c r="AD37" s="27">
        <v>10566.3333</v>
      </c>
      <c r="AE37" s="27">
        <v>0</v>
      </c>
      <c r="AF37" s="27">
        <v>1314</v>
      </c>
      <c r="AG37" s="27">
        <v>0</v>
      </c>
      <c r="AH37" s="27">
        <v>209167.9166</v>
      </c>
    </row>
    <row r="38" spans="1:34" s="28" customFormat="1" ht="15" customHeight="1" x14ac:dyDescent="0.2">
      <c r="A38" s="29"/>
      <c r="B38" s="26" t="s">
        <v>38</v>
      </c>
      <c r="C38" s="26" t="s">
        <v>37</v>
      </c>
      <c r="D38" s="27"/>
      <c r="E38" s="27">
        <v>0</v>
      </c>
      <c r="F38" s="27">
        <v>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27">
        <v>0</v>
      </c>
      <c r="R38" s="27">
        <v>0</v>
      </c>
      <c r="S38" s="27">
        <v>0</v>
      </c>
      <c r="T38" s="27">
        <v>0</v>
      </c>
      <c r="U38" s="27">
        <v>0</v>
      </c>
      <c r="V38" s="27">
        <v>0</v>
      </c>
      <c r="W38" s="27">
        <v>0</v>
      </c>
      <c r="X38" s="27">
        <v>0</v>
      </c>
      <c r="Y38" s="27">
        <v>0</v>
      </c>
      <c r="Z38" s="27">
        <v>0</v>
      </c>
      <c r="AA38" s="27">
        <v>0</v>
      </c>
      <c r="AB38" s="27">
        <v>0</v>
      </c>
      <c r="AC38" s="27">
        <v>0</v>
      </c>
      <c r="AD38" s="27">
        <v>0</v>
      </c>
      <c r="AE38" s="27">
        <v>0</v>
      </c>
      <c r="AF38" s="27">
        <v>0</v>
      </c>
      <c r="AG38" s="27">
        <v>0</v>
      </c>
      <c r="AH38" s="27">
        <v>0</v>
      </c>
    </row>
    <row r="39" spans="1:34" s="28" customFormat="1" ht="15" customHeight="1" x14ac:dyDescent="0.2">
      <c r="A39" s="29"/>
      <c r="B39" s="26" t="s">
        <v>45</v>
      </c>
      <c r="C39" s="26" t="s">
        <v>42</v>
      </c>
      <c r="D39" s="27"/>
      <c r="E39" s="27">
        <v>0.35726598783999997</v>
      </c>
      <c r="F39" s="27">
        <v>4.4174807999999999E-3</v>
      </c>
      <c r="G39" s="27">
        <v>0</v>
      </c>
      <c r="H39" s="27">
        <v>0.15010762075</v>
      </c>
      <c r="I39" s="27">
        <v>0.47466862262000004</v>
      </c>
      <c r="J39" s="27">
        <v>0</v>
      </c>
      <c r="K39" s="27">
        <v>0</v>
      </c>
      <c r="L39" s="27">
        <v>0</v>
      </c>
      <c r="M39" s="27">
        <v>2.4434712500000003E-3</v>
      </c>
      <c r="N39" s="27">
        <v>3.878081546E-2</v>
      </c>
      <c r="O39" s="27">
        <v>0.26759176643999999</v>
      </c>
      <c r="P39" s="27">
        <v>0</v>
      </c>
      <c r="Q39" s="27">
        <v>1.0392828200000001E-2</v>
      </c>
      <c r="R39" s="27">
        <v>3.4253993199999999E-2</v>
      </c>
      <c r="S39" s="27">
        <v>0.32651814295000003</v>
      </c>
      <c r="T39" s="27">
        <v>1</v>
      </c>
      <c r="U39" s="27">
        <v>0</v>
      </c>
      <c r="V39" s="27">
        <v>1</v>
      </c>
      <c r="W39" s="27">
        <v>0</v>
      </c>
      <c r="X39" s="27">
        <v>2.2401397899999998E-3</v>
      </c>
      <c r="Y39" s="27">
        <v>0.10973193984</v>
      </c>
      <c r="Z39" s="27">
        <v>0.40518035021999999</v>
      </c>
      <c r="AA39" s="27">
        <v>0</v>
      </c>
      <c r="AB39" s="27">
        <v>0</v>
      </c>
      <c r="AC39" s="27">
        <v>1</v>
      </c>
      <c r="AD39" s="27">
        <v>0</v>
      </c>
      <c r="AE39" s="27">
        <v>0</v>
      </c>
      <c r="AF39" s="27">
        <v>0</v>
      </c>
      <c r="AG39" s="27">
        <v>0</v>
      </c>
      <c r="AH39" s="27">
        <v>0</v>
      </c>
    </row>
    <row r="40" spans="1:34" s="28" customFormat="1" ht="15" customHeight="1" x14ac:dyDescent="0.2">
      <c r="A40" s="29"/>
      <c r="B40" s="26" t="s">
        <v>46</v>
      </c>
      <c r="C40" s="26" t="s">
        <v>42</v>
      </c>
      <c r="D40" s="27"/>
      <c r="E40" s="27">
        <v>1.056127373</v>
      </c>
      <c r="F40" s="27">
        <v>1.056127373</v>
      </c>
      <c r="G40" s="27">
        <v>1.056127373</v>
      </c>
      <c r="H40" s="27">
        <v>1.056127373</v>
      </c>
      <c r="I40" s="27">
        <v>1.056127373</v>
      </c>
      <c r="J40" s="27">
        <v>1.056127373</v>
      </c>
      <c r="K40" s="27">
        <v>1.056127373</v>
      </c>
      <c r="L40" s="27">
        <v>1.056127373</v>
      </c>
      <c r="M40" s="27">
        <v>1.056127373</v>
      </c>
      <c r="N40" s="27">
        <v>1.056127373</v>
      </c>
      <c r="O40" s="27">
        <v>1.056127373</v>
      </c>
      <c r="P40" s="27">
        <v>1.056127373</v>
      </c>
      <c r="Q40" s="27">
        <v>1.056127373</v>
      </c>
      <c r="R40" s="27">
        <v>1.056127373</v>
      </c>
      <c r="S40" s="27">
        <v>1.056127373</v>
      </c>
      <c r="T40" s="27">
        <v>1.056127373</v>
      </c>
      <c r="U40" s="27">
        <v>1.056127373</v>
      </c>
      <c r="V40" s="27">
        <v>1.056127373</v>
      </c>
      <c r="W40" s="27">
        <v>1.056127373</v>
      </c>
      <c r="X40" s="27">
        <v>1.056127373</v>
      </c>
      <c r="Y40" s="27">
        <v>1.056127373</v>
      </c>
      <c r="Z40" s="27">
        <v>1.056127373</v>
      </c>
      <c r="AA40" s="27">
        <v>1.056127373</v>
      </c>
      <c r="AB40" s="27">
        <v>1.056127373</v>
      </c>
      <c r="AC40" s="27">
        <v>1.056127373</v>
      </c>
      <c r="AD40" s="27">
        <v>1.056127373</v>
      </c>
      <c r="AE40" s="27">
        <v>1.056127373</v>
      </c>
      <c r="AF40" s="27">
        <v>1.056127373</v>
      </c>
      <c r="AG40" s="27">
        <v>1.056127373</v>
      </c>
      <c r="AH40" s="27">
        <v>1.056127373</v>
      </c>
    </row>
    <row r="41" spans="1:34" s="28" customFormat="1" ht="15" customHeight="1" x14ac:dyDescent="0.2">
      <c r="A41" s="29"/>
      <c r="B41" s="25" t="s">
        <v>47</v>
      </c>
      <c r="C41" s="29"/>
      <c r="D41" s="27">
        <f>SUM($E$41:$AH$41)</f>
        <v>335422.62810611469</v>
      </c>
      <c r="E41" s="27">
        <v>144076.03979941717</v>
      </c>
      <c r="F41" s="27">
        <v>118.18214733768937</v>
      </c>
      <c r="G41" s="27">
        <v>0</v>
      </c>
      <c r="H41" s="27">
        <v>4029.2423829798681</v>
      </c>
      <c r="I41" s="27">
        <v>4803.8081101551834</v>
      </c>
      <c r="J41" s="27">
        <v>0</v>
      </c>
      <c r="K41" s="27">
        <v>0</v>
      </c>
      <c r="L41" s="27">
        <v>0</v>
      </c>
      <c r="M41" s="27">
        <v>9050.054985777273</v>
      </c>
      <c r="N41" s="27">
        <v>32787.995833705754</v>
      </c>
      <c r="O41" s="27">
        <v>31657.965260378438</v>
      </c>
      <c r="P41" s="27">
        <v>0</v>
      </c>
      <c r="Q41" s="27">
        <v>1925.6585605479509</v>
      </c>
      <c r="R41" s="27">
        <v>25411.548145649173</v>
      </c>
      <c r="S41" s="27">
        <v>48912.434289671677</v>
      </c>
      <c r="T41" s="27">
        <v>15584.039459554922</v>
      </c>
      <c r="U41" s="27">
        <v>0</v>
      </c>
      <c r="V41" s="27">
        <v>2394.5927618444207</v>
      </c>
      <c r="W41" s="27">
        <v>0</v>
      </c>
      <c r="X41" s="27">
        <v>165.76153661922427</v>
      </c>
      <c r="Y41" s="27">
        <v>9518.1683371555209</v>
      </c>
      <c r="Z41" s="27">
        <v>3754.1958683658427</v>
      </c>
      <c r="AA41" s="27">
        <v>0</v>
      </c>
      <c r="AB41" s="27">
        <v>0</v>
      </c>
      <c r="AC41" s="27">
        <v>1232.9406269545918</v>
      </c>
      <c r="AD41" s="27">
        <v>0</v>
      </c>
      <c r="AE41" s="27">
        <v>0</v>
      </c>
      <c r="AF41" s="27">
        <v>0</v>
      </c>
      <c r="AG41" s="27">
        <v>0</v>
      </c>
      <c r="AH41" s="27">
        <v>0</v>
      </c>
    </row>
    <row r="42" spans="1:34" s="28" customFormat="1" ht="15" customHeight="1" x14ac:dyDescent="0.2">
      <c r="A42" s="29"/>
      <c r="B42" s="29"/>
      <c r="C42" s="29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</row>
    <row r="43" spans="1:34" s="28" customFormat="1" ht="15" customHeight="1" x14ac:dyDescent="0.2">
      <c r="A43" s="29"/>
      <c r="B43" s="26" t="s">
        <v>36</v>
      </c>
      <c r="C43" s="26" t="s">
        <v>37</v>
      </c>
      <c r="D43" s="27"/>
      <c r="E43" s="27">
        <v>381842.0833</v>
      </c>
      <c r="F43" s="27">
        <v>25331.5</v>
      </c>
      <c r="G43" s="27">
        <v>183520.8333</v>
      </c>
      <c r="H43" s="27">
        <v>25415.833299999998</v>
      </c>
      <c r="I43" s="27">
        <v>9582.5</v>
      </c>
      <c r="J43" s="27">
        <v>0</v>
      </c>
      <c r="K43" s="27">
        <v>1016225.0833000001</v>
      </c>
      <c r="L43" s="27">
        <v>3647.5832999999998</v>
      </c>
      <c r="M43" s="27">
        <v>3506934.75</v>
      </c>
      <c r="N43" s="27">
        <v>800537.4166</v>
      </c>
      <c r="O43" s="27">
        <v>112019.5833</v>
      </c>
      <c r="P43" s="27">
        <v>30542.25</v>
      </c>
      <c r="Q43" s="27">
        <v>175440.25</v>
      </c>
      <c r="R43" s="27">
        <v>702430.9166</v>
      </c>
      <c r="S43" s="27">
        <v>141839</v>
      </c>
      <c r="T43" s="27">
        <v>14755.8333</v>
      </c>
      <c r="U43" s="27">
        <v>5676.0833000000002</v>
      </c>
      <c r="V43" s="27">
        <v>2267.3332999999998</v>
      </c>
      <c r="W43" s="27">
        <v>9380715.9166000001</v>
      </c>
      <c r="X43" s="27">
        <v>70063.583299999998</v>
      </c>
      <c r="Y43" s="27">
        <v>82130.416599999997</v>
      </c>
      <c r="Z43" s="27">
        <v>8773.0833000000002</v>
      </c>
      <c r="AA43" s="27">
        <v>29509</v>
      </c>
      <c r="AB43" s="27">
        <v>3485.1666</v>
      </c>
      <c r="AC43" s="27">
        <v>1167.4166</v>
      </c>
      <c r="AD43" s="27">
        <v>10566.3333</v>
      </c>
      <c r="AE43" s="27">
        <v>0</v>
      </c>
      <c r="AF43" s="27">
        <v>1314</v>
      </c>
      <c r="AG43" s="27">
        <v>0</v>
      </c>
      <c r="AH43" s="27">
        <v>209167.9166</v>
      </c>
    </row>
    <row r="44" spans="1:34" s="28" customFormat="1" ht="15" customHeight="1" x14ac:dyDescent="0.2">
      <c r="A44" s="29"/>
      <c r="B44" s="26" t="s">
        <v>38</v>
      </c>
      <c r="C44" s="26" t="s">
        <v>37</v>
      </c>
      <c r="D44" s="27"/>
      <c r="E44" s="27">
        <v>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27">
        <v>0</v>
      </c>
      <c r="O44" s="27">
        <v>0</v>
      </c>
      <c r="P44" s="27">
        <v>0</v>
      </c>
      <c r="Q44" s="27">
        <v>0</v>
      </c>
      <c r="R44" s="27">
        <v>0</v>
      </c>
      <c r="S44" s="27">
        <v>0</v>
      </c>
      <c r="T44" s="27">
        <v>0</v>
      </c>
      <c r="U44" s="27">
        <v>0</v>
      </c>
      <c r="V44" s="27">
        <v>0</v>
      </c>
      <c r="W44" s="27">
        <v>0</v>
      </c>
      <c r="X44" s="27">
        <v>0</v>
      </c>
      <c r="Y44" s="27">
        <v>0</v>
      </c>
      <c r="Z44" s="27">
        <v>0</v>
      </c>
      <c r="AA44" s="27">
        <v>0</v>
      </c>
      <c r="AB44" s="27">
        <v>0</v>
      </c>
      <c r="AC44" s="27">
        <v>0</v>
      </c>
      <c r="AD44" s="27">
        <v>0</v>
      </c>
      <c r="AE44" s="27">
        <v>0</v>
      </c>
      <c r="AF44" s="27">
        <v>0</v>
      </c>
      <c r="AG44" s="27">
        <v>0</v>
      </c>
      <c r="AH44" s="27">
        <v>0</v>
      </c>
    </row>
    <row r="45" spans="1:34" s="28" customFormat="1" ht="15" customHeight="1" x14ac:dyDescent="0.2">
      <c r="A45" s="29"/>
      <c r="B45" s="26" t="s">
        <v>48</v>
      </c>
      <c r="C45" s="26" t="s">
        <v>42</v>
      </c>
      <c r="D45" s="27"/>
      <c r="E45" s="27">
        <v>0.64273401215000003</v>
      </c>
      <c r="F45" s="27">
        <v>0.99558251918999996</v>
      </c>
      <c r="G45" s="27">
        <v>0</v>
      </c>
      <c r="H45" s="27">
        <v>0.84989237924000005</v>
      </c>
      <c r="I45" s="27">
        <v>0.52533137737000002</v>
      </c>
      <c r="J45" s="27">
        <v>0</v>
      </c>
      <c r="K45" s="27">
        <v>1</v>
      </c>
      <c r="L45" s="27">
        <v>1</v>
      </c>
      <c r="M45" s="27">
        <v>0.99755652874</v>
      </c>
      <c r="N45" s="27">
        <v>0.96121918452999999</v>
      </c>
      <c r="O45" s="27">
        <v>0.73240823354999995</v>
      </c>
      <c r="P45" s="27">
        <v>0</v>
      </c>
      <c r="Q45" s="27">
        <v>0.98960717179000002</v>
      </c>
      <c r="R45" s="27">
        <v>0.96574600679</v>
      </c>
      <c r="S45" s="27">
        <v>0.67348185703999996</v>
      </c>
      <c r="T45" s="27">
        <v>0</v>
      </c>
      <c r="U45" s="27">
        <v>1</v>
      </c>
      <c r="V45" s="27">
        <v>0</v>
      </c>
      <c r="W45" s="27">
        <v>1</v>
      </c>
      <c r="X45" s="27">
        <v>0.99775986019999996</v>
      </c>
      <c r="Y45" s="27">
        <v>0.89026806015000004</v>
      </c>
      <c r="Z45" s="27">
        <v>0.59481964977000001</v>
      </c>
      <c r="AA45" s="27">
        <v>1</v>
      </c>
      <c r="AB45" s="27">
        <v>1</v>
      </c>
      <c r="AC45" s="27">
        <v>0</v>
      </c>
      <c r="AD45" s="27">
        <v>0</v>
      </c>
      <c r="AE45" s="27">
        <v>0</v>
      </c>
      <c r="AF45" s="27">
        <v>0</v>
      </c>
      <c r="AG45" s="27">
        <v>0</v>
      </c>
      <c r="AH45" s="27">
        <v>0</v>
      </c>
    </row>
    <row r="46" spans="1:34" s="28" customFormat="1" ht="15" customHeight="1" x14ac:dyDescent="0.2">
      <c r="A46" s="29"/>
      <c r="B46" s="26" t="s">
        <v>49</v>
      </c>
      <c r="C46" s="26" t="s">
        <v>42</v>
      </c>
      <c r="D46" s="27"/>
      <c r="E46" s="27">
        <v>1.0857752949999999</v>
      </c>
      <c r="F46" s="27">
        <v>1.0857752949999999</v>
      </c>
      <c r="G46" s="27">
        <v>1.0857752949999999</v>
      </c>
      <c r="H46" s="27">
        <v>1.0857752949999999</v>
      </c>
      <c r="I46" s="27">
        <v>1.0857752949999999</v>
      </c>
      <c r="J46" s="27">
        <v>1.0857752949999999</v>
      </c>
      <c r="K46" s="27">
        <v>1.0857752949999999</v>
      </c>
      <c r="L46" s="27">
        <v>1.0857752949999999</v>
      </c>
      <c r="M46" s="27">
        <v>1.0857752949999999</v>
      </c>
      <c r="N46" s="27">
        <v>1.0857752949999999</v>
      </c>
      <c r="O46" s="27">
        <v>1.0857752949999999</v>
      </c>
      <c r="P46" s="27">
        <v>1.0857752949999999</v>
      </c>
      <c r="Q46" s="27">
        <v>1.0857752949999999</v>
      </c>
      <c r="R46" s="27">
        <v>1.0857752949999999</v>
      </c>
      <c r="S46" s="27">
        <v>1.0857752949999999</v>
      </c>
      <c r="T46" s="27">
        <v>1.0857752949999999</v>
      </c>
      <c r="U46" s="27">
        <v>1.0857752949999999</v>
      </c>
      <c r="V46" s="27">
        <v>1.0857752949999999</v>
      </c>
      <c r="W46" s="27">
        <v>1.0857752949999999</v>
      </c>
      <c r="X46" s="27">
        <v>1.0857752949999999</v>
      </c>
      <c r="Y46" s="27">
        <v>1.0857752949999999</v>
      </c>
      <c r="Z46" s="27">
        <v>1.0857752949999999</v>
      </c>
      <c r="AA46" s="27">
        <v>1.0857752949999999</v>
      </c>
      <c r="AB46" s="27">
        <v>1.0857752949999999</v>
      </c>
      <c r="AC46" s="27">
        <v>1.0857752949999999</v>
      </c>
      <c r="AD46" s="27">
        <v>1.0857752949999999</v>
      </c>
      <c r="AE46" s="27">
        <v>1.0857752949999999</v>
      </c>
      <c r="AF46" s="27">
        <v>1.0857752949999999</v>
      </c>
      <c r="AG46" s="27">
        <v>1.0857752949999999</v>
      </c>
      <c r="AH46" s="27">
        <v>1.0857752949999999</v>
      </c>
    </row>
    <row r="47" spans="1:34" s="28" customFormat="1" ht="15" customHeight="1" x14ac:dyDescent="0.2">
      <c r="A47" s="29"/>
      <c r="B47" s="25" t="s">
        <v>50</v>
      </c>
      <c r="C47" s="29"/>
      <c r="D47" s="27">
        <f>SUM($E$47:$AH$47)</f>
        <v>17570226.003781293</v>
      </c>
      <c r="E47" s="27">
        <v>266474.11535749334</v>
      </c>
      <c r="F47" s="27">
        <v>27382.817093259557</v>
      </c>
      <c r="G47" s="27">
        <v>0</v>
      </c>
      <c r="H47" s="27">
        <v>23453.531424133493</v>
      </c>
      <c r="I47" s="27">
        <v>5465.7797228253721</v>
      </c>
      <c r="J47" s="27">
        <v>0</v>
      </c>
      <c r="K47" s="27">
        <v>1103392.0896064572</v>
      </c>
      <c r="L47" s="27">
        <v>3960.4558335945731</v>
      </c>
      <c r="M47" s="27">
        <v>3798439.0018655895</v>
      </c>
      <c r="N47" s="27">
        <v>835495.31944571913</v>
      </c>
      <c r="O47" s="27">
        <v>89081.419017092892</v>
      </c>
      <c r="P47" s="27">
        <v>0</v>
      </c>
      <c r="Q47" s="27">
        <v>188508.97297583436</v>
      </c>
      <c r="R47" s="27">
        <v>736557.22699122364</v>
      </c>
      <c r="S47" s="27">
        <v>103719.76336079226</v>
      </c>
      <c r="T47" s="27">
        <v>0</v>
      </c>
      <c r="U47" s="27">
        <v>6162.951019502073</v>
      </c>
      <c r="V47" s="27">
        <v>0</v>
      </c>
      <c r="W47" s="27">
        <v>10185349.59165756</v>
      </c>
      <c r="X47" s="27">
        <v>75902.892981735175</v>
      </c>
      <c r="Y47" s="27">
        <v>79389.812119387352</v>
      </c>
      <c r="Z47" s="27">
        <v>5666.0123357003222</v>
      </c>
      <c r="AA47" s="27">
        <v>32040.143180154999</v>
      </c>
      <c r="AB47" s="27">
        <v>3784.1077932391468</v>
      </c>
      <c r="AC47" s="27">
        <v>0</v>
      </c>
      <c r="AD47" s="27">
        <v>0</v>
      </c>
      <c r="AE47" s="27">
        <v>0</v>
      </c>
      <c r="AF47" s="27">
        <v>0</v>
      </c>
      <c r="AG47" s="27">
        <v>0</v>
      </c>
      <c r="AH47" s="27">
        <v>0</v>
      </c>
    </row>
    <row r="48" spans="1:34" s="28" customFormat="1" ht="15" customHeight="1" x14ac:dyDescent="0.2">
      <c r="A48" s="29"/>
      <c r="B48" s="29"/>
      <c r="C48" s="29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</row>
    <row r="49" spans="1:34" s="28" customFormat="1" ht="15" customHeight="1" x14ac:dyDescent="0.2">
      <c r="A49" s="29"/>
      <c r="B49" s="26" t="s">
        <v>44</v>
      </c>
      <c r="C49" s="26" t="s">
        <v>37</v>
      </c>
      <c r="D49" s="27"/>
      <c r="E49" s="27">
        <v>0</v>
      </c>
      <c r="F49" s="27">
        <v>0</v>
      </c>
      <c r="G49" s="27">
        <v>189125.93246331529</v>
      </c>
      <c r="H49" s="27">
        <v>0</v>
      </c>
      <c r="I49" s="27">
        <v>0</v>
      </c>
      <c r="J49" s="27">
        <v>0</v>
      </c>
      <c r="K49" s="27">
        <v>0</v>
      </c>
      <c r="L49" s="27">
        <v>0</v>
      </c>
      <c r="M49" s="27">
        <v>0</v>
      </c>
      <c r="N49" s="27">
        <v>0</v>
      </c>
      <c r="O49" s="27">
        <v>0</v>
      </c>
      <c r="P49" s="27">
        <v>31475.072376852</v>
      </c>
      <c r="Q49" s="27">
        <v>0</v>
      </c>
      <c r="R49" s="27">
        <v>0</v>
      </c>
      <c r="S49" s="27">
        <v>0</v>
      </c>
      <c r="T49" s="27">
        <v>0</v>
      </c>
      <c r="U49" s="27">
        <v>0</v>
      </c>
      <c r="V49" s="27">
        <v>0</v>
      </c>
      <c r="W49" s="27">
        <v>0</v>
      </c>
      <c r="X49" s="27">
        <v>0</v>
      </c>
      <c r="Y49" s="27">
        <v>0</v>
      </c>
      <c r="Z49" s="27">
        <v>0</v>
      </c>
      <c r="AA49" s="27">
        <v>0</v>
      </c>
      <c r="AB49" s="27">
        <v>0</v>
      </c>
      <c r="AC49" s="27">
        <v>0</v>
      </c>
      <c r="AD49" s="27">
        <v>10889.050589771266</v>
      </c>
      <c r="AE49" s="27">
        <v>0</v>
      </c>
      <c r="AF49" s="27">
        <v>1354.1322300480001</v>
      </c>
      <c r="AG49" s="27">
        <v>0</v>
      </c>
      <c r="AH49" s="27">
        <v>215556.32980217054</v>
      </c>
    </row>
    <row r="50" spans="1:34" s="28" customFormat="1" ht="15" customHeight="1" x14ac:dyDescent="0.2">
      <c r="A50" s="29"/>
      <c r="B50" s="26" t="s">
        <v>47</v>
      </c>
      <c r="C50" s="26" t="s">
        <v>37</v>
      </c>
      <c r="D50" s="27"/>
      <c r="E50" s="27">
        <v>144076.03979941717</v>
      </c>
      <c r="F50" s="27">
        <v>118.18214733768937</v>
      </c>
      <c r="G50" s="27">
        <v>0</v>
      </c>
      <c r="H50" s="27">
        <v>4029.2423829798681</v>
      </c>
      <c r="I50" s="27">
        <v>4803.8081101551834</v>
      </c>
      <c r="J50" s="27">
        <v>0</v>
      </c>
      <c r="K50" s="27">
        <v>0</v>
      </c>
      <c r="L50" s="27">
        <v>0</v>
      </c>
      <c r="M50" s="27">
        <v>9050.054985777273</v>
      </c>
      <c r="N50" s="27">
        <v>32787.995833705754</v>
      </c>
      <c r="O50" s="27">
        <v>31657.965260378438</v>
      </c>
      <c r="P50" s="27">
        <v>0</v>
      </c>
      <c r="Q50" s="27">
        <v>1925.6585605479509</v>
      </c>
      <c r="R50" s="27">
        <v>25411.548145649173</v>
      </c>
      <c r="S50" s="27">
        <v>48912.434289671677</v>
      </c>
      <c r="T50" s="27">
        <v>15584.039459554922</v>
      </c>
      <c r="U50" s="27">
        <v>0</v>
      </c>
      <c r="V50" s="27">
        <v>2394.5927618444207</v>
      </c>
      <c r="W50" s="27">
        <v>0</v>
      </c>
      <c r="X50" s="27">
        <v>165.76153661922427</v>
      </c>
      <c r="Y50" s="27">
        <v>9518.1683371555209</v>
      </c>
      <c r="Z50" s="27">
        <v>3754.1958683658427</v>
      </c>
      <c r="AA50" s="27">
        <v>0</v>
      </c>
      <c r="AB50" s="27">
        <v>0</v>
      </c>
      <c r="AC50" s="27">
        <v>1232.9406269545918</v>
      </c>
      <c r="AD50" s="27">
        <v>0</v>
      </c>
      <c r="AE50" s="27">
        <v>0</v>
      </c>
      <c r="AF50" s="27">
        <v>0</v>
      </c>
      <c r="AG50" s="27">
        <v>0</v>
      </c>
      <c r="AH50" s="27">
        <v>0</v>
      </c>
    </row>
    <row r="51" spans="1:34" s="28" customFormat="1" ht="15" customHeight="1" x14ac:dyDescent="0.2">
      <c r="A51" s="29"/>
      <c r="B51" s="26" t="s">
        <v>50</v>
      </c>
      <c r="C51" s="26" t="s">
        <v>37</v>
      </c>
      <c r="D51" s="27"/>
      <c r="E51" s="27">
        <v>266474.11535749334</v>
      </c>
      <c r="F51" s="27">
        <v>27382.817093259557</v>
      </c>
      <c r="G51" s="27">
        <v>0</v>
      </c>
      <c r="H51" s="27">
        <v>23453.531424133493</v>
      </c>
      <c r="I51" s="27">
        <v>5465.7797228253721</v>
      </c>
      <c r="J51" s="27">
        <v>0</v>
      </c>
      <c r="K51" s="27">
        <v>1103392.0896064572</v>
      </c>
      <c r="L51" s="27">
        <v>3960.4558335945731</v>
      </c>
      <c r="M51" s="27">
        <v>3798439.0018655895</v>
      </c>
      <c r="N51" s="27">
        <v>835495.31944571913</v>
      </c>
      <c r="O51" s="27">
        <v>89081.419017092892</v>
      </c>
      <c r="P51" s="27">
        <v>0</v>
      </c>
      <c r="Q51" s="27">
        <v>188508.97297583436</v>
      </c>
      <c r="R51" s="27">
        <v>736557.22699122364</v>
      </c>
      <c r="S51" s="27">
        <v>103719.76336079226</v>
      </c>
      <c r="T51" s="27">
        <v>0</v>
      </c>
      <c r="U51" s="27">
        <v>6162.951019502073</v>
      </c>
      <c r="V51" s="27">
        <v>0</v>
      </c>
      <c r="W51" s="27">
        <v>10185349.59165756</v>
      </c>
      <c r="X51" s="27">
        <v>75902.892981735175</v>
      </c>
      <c r="Y51" s="27">
        <v>79389.812119387352</v>
      </c>
      <c r="Z51" s="27">
        <v>5666.0123357003222</v>
      </c>
      <c r="AA51" s="27">
        <v>32040.143180154999</v>
      </c>
      <c r="AB51" s="27">
        <v>3784.1077932391468</v>
      </c>
      <c r="AC51" s="27">
        <v>0</v>
      </c>
      <c r="AD51" s="27">
        <v>0</v>
      </c>
      <c r="AE51" s="27">
        <v>0</v>
      </c>
      <c r="AF51" s="27">
        <v>0</v>
      </c>
      <c r="AG51" s="27">
        <v>0</v>
      </c>
      <c r="AH51" s="27">
        <v>0</v>
      </c>
    </row>
    <row r="52" spans="1:34" s="28" customFormat="1" ht="15" customHeight="1" x14ac:dyDescent="0.2">
      <c r="A52" s="29"/>
      <c r="B52" s="25" t="s">
        <v>53</v>
      </c>
      <c r="C52" s="29"/>
      <c r="D52" s="27">
        <f>SUM($E$52:$AH$52)</f>
        <v>18354049.149349559</v>
      </c>
      <c r="E52" s="27">
        <v>410550.15515691054</v>
      </c>
      <c r="F52" s="27">
        <v>27500.999240597244</v>
      </c>
      <c r="G52" s="27">
        <v>189125.93246331529</v>
      </c>
      <c r="H52" s="27">
        <v>27482.773807113361</v>
      </c>
      <c r="I52" s="27">
        <v>10269.587832980556</v>
      </c>
      <c r="J52" s="27">
        <v>0</v>
      </c>
      <c r="K52" s="27">
        <v>1103392.0896064572</v>
      </c>
      <c r="L52" s="27">
        <v>3960.4558335945731</v>
      </c>
      <c r="M52" s="27">
        <v>3807489.056851367</v>
      </c>
      <c r="N52" s="27">
        <v>868283.31527942489</v>
      </c>
      <c r="O52" s="27">
        <v>120739.38427747133</v>
      </c>
      <c r="P52" s="27">
        <v>31475.072376852</v>
      </c>
      <c r="Q52" s="27">
        <v>190434.63153638231</v>
      </c>
      <c r="R52" s="27">
        <v>761968.77513687278</v>
      </c>
      <c r="S52" s="27">
        <v>152632.19765046393</v>
      </c>
      <c r="T52" s="27">
        <v>15584.039459554922</v>
      </c>
      <c r="U52" s="27">
        <v>6162.951019502073</v>
      </c>
      <c r="V52" s="27">
        <v>2394.5927618444207</v>
      </c>
      <c r="W52" s="27">
        <v>10185349.59165756</v>
      </c>
      <c r="X52" s="27">
        <v>76068.654518354393</v>
      </c>
      <c r="Y52" s="27">
        <v>88907.980456542879</v>
      </c>
      <c r="Z52" s="27">
        <v>9420.2082040661644</v>
      </c>
      <c r="AA52" s="27">
        <v>32040.143180154999</v>
      </c>
      <c r="AB52" s="27">
        <v>3784.1077932391468</v>
      </c>
      <c r="AC52" s="27">
        <v>1232.9406269545918</v>
      </c>
      <c r="AD52" s="27">
        <v>10889.050589771266</v>
      </c>
      <c r="AE52" s="27">
        <v>0</v>
      </c>
      <c r="AF52" s="27">
        <v>1354.1322300480001</v>
      </c>
      <c r="AG52" s="27">
        <v>0</v>
      </c>
      <c r="AH52" s="27">
        <v>215556.32980217054</v>
      </c>
    </row>
    <row r="53" spans="1:34" ht="15" customHeight="1" x14ac:dyDescent="0.2"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</row>
    <row r="54" spans="1:34" ht="15" customHeight="1" x14ac:dyDescent="0.2"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</row>
    <row r="55" spans="1:34" ht="15" customHeight="1" x14ac:dyDescent="0.2"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</row>
    <row r="56" spans="1:34" ht="15" customHeight="1" x14ac:dyDescent="0.2"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</row>
    <row r="57" spans="1:34" s="57" customFormat="1" ht="15" customHeight="1" x14ac:dyDescent="0.2">
      <c r="A57" s="54" t="s">
        <v>54</v>
      </c>
      <c r="B57" s="55" t="s">
        <v>55</v>
      </c>
      <c r="C57" s="55" t="s">
        <v>37</v>
      </c>
      <c r="D57" s="56"/>
      <c r="E57" s="56">
        <v>26793</v>
      </c>
      <c r="F57" s="56">
        <v>26793</v>
      </c>
      <c r="G57" s="56">
        <v>26793</v>
      </c>
      <c r="H57" s="56">
        <v>26793</v>
      </c>
      <c r="I57" s="56">
        <v>26793</v>
      </c>
      <c r="J57" s="56">
        <v>26793</v>
      </c>
      <c r="K57" s="56">
        <v>26793</v>
      </c>
      <c r="L57" s="56">
        <v>26793</v>
      </c>
      <c r="M57" s="56">
        <v>26793</v>
      </c>
      <c r="N57" s="56">
        <v>26793</v>
      </c>
      <c r="O57" s="56">
        <v>26793</v>
      </c>
      <c r="P57" s="56">
        <v>26793</v>
      </c>
      <c r="Q57" s="56">
        <v>26793</v>
      </c>
      <c r="R57" s="56">
        <v>26793</v>
      </c>
      <c r="S57" s="56">
        <v>26793</v>
      </c>
      <c r="T57" s="56">
        <v>26793</v>
      </c>
      <c r="U57" s="56">
        <v>26793</v>
      </c>
      <c r="V57" s="56">
        <v>26793</v>
      </c>
      <c r="W57" s="56">
        <v>26793</v>
      </c>
      <c r="X57" s="56">
        <v>26793</v>
      </c>
      <c r="Y57" s="56">
        <v>26793</v>
      </c>
      <c r="Z57" s="56">
        <v>26793</v>
      </c>
      <c r="AA57" s="56">
        <v>26793</v>
      </c>
      <c r="AB57" s="56">
        <v>26793</v>
      </c>
      <c r="AC57" s="56">
        <v>26793</v>
      </c>
      <c r="AD57" s="56">
        <v>26793</v>
      </c>
      <c r="AE57" s="56">
        <v>26793</v>
      </c>
      <c r="AF57" s="56">
        <v>26793</v>
      </c>
      <c r="AG57" s="56">
        <v>26793</v>
      </c>
      <c r="AH57" s="56">
        <v>26793</v>
      </c>
    </row>
    <row r="58" spans="1:34" s="57" customFormat="1" ht="15" customHeight="1" x14ac:dyDescent="0.2">
      <c r="A58" s="58"/>
      <c r="B58" s="55" t="s">
        <v>56</v>
      </c>
      <c r="C58" s="55" t="s">
        <v>57</v>
      </c>
      <c r="D58" s="56"/>
      <c r="E58" s="56">
        <v>2939</v>
      </c>
      <c r="F58" s="56">
        <v>2939</v>
      </c>
      <c r="G58" s="56">
        <v>2939</v>
      </c>
      <c r="H58" s="56">
        <v>2939</v>
      </c>
      <c r="I58" s="56">
        <v>2939</v>
      </c>
      <c r="J58" s="56">
        <v>2939</v>
      </c>
      <c r="K58" s="56">
        <v>2939</v>
      </c>
      <c r="L58" s="56">
        <v>2939</v>
      </c>
      <c r="M58" s="56">
        <v>2939</v>
      </c>
      <c r="N58" s="56">
        <v>2939</v>
      </c>
      <c r="O58" s="56">
        <v>2939</v>
      </c>
      <c r="P58" s="56">
        <v>2939</v>
      </c>
      <c r="Q58" s="56">
        <v>2939</v>
      </c>
      <c r="R58" s="56">
        <v>2939</v>
      </c>
      <c r="S58" s="56">
        <v>2939</v>
      </c>
      <c r="T58" s="56">
        <v>2939</v>
      </c>
      <c r="U58" s="56">
        <v>2939</v>
      </c>
      <c r="V58" s="56">
        <v>2939</v>
      </c>
      <c r="W58" s="56">
        <v>2939</v>
      </c>
      <c r="X58" s="56">
        <v>2939</v>
      </c>
      <c r="Y58" s="56">
        <v>2939</v>
      </c>
      <c r="Z58" s="56">
        <v>2939</v>
      </c>
      <c r="AA58" s="56">
        <v>2939</v>
      </c>
      <c r="AB58" s="56">
        <v>2939</v>
      </c>
      <c r="AC58" s="56">
        <v>2939</v>
      </c>
      <c r="AD58" s="56">
        <v>2939</v>
      </c>
      <c r="AE58" s="56">
        <v>2939</v>
      </c>
      <c r="AF58" s="56">
        <v>2939</v>
      </c>
      <c r="AG58" s="56">
        <v>2939</v>
      </c>
      <c r="AH58" s="56">
        <v>2939</v>
      </c>
    </row>
    <row r="59" spans="1:34" s="57" customFormat="1" ht="15" customHeight="1" x14ac:dyDescent="0.2">
      <c r="A59" s="58"/>
      <c r="B59" s="54" t="s">
        <v>58</v>
      </c>
      <c r="C59" s="58"/>
      <c r="D59" s="56">
        <f>SUM($E$59:$AH$59)</f>
        <v>715620</v>
      </c>
      <c r="E59" s="56">
        <v>23854</v>
      </c>
      <c r="F59" s="56">
        <v>23854</v>
      </c>
      <c r="G59" s="56">
        <v>23854</v>
      </c>
      <c r="H59" s="56">
        <v>23854</v>
      </c>
      <c r="I59" s="56">
        <v>23854</v>
      </c>
      <c r="J59" s="56">
        <v>23854</v>
      </c>
      <c r="K59" s="56">
        <v>23854</v>
      </c>
      <c r="L59" s="56">
        <v>23854</v>
      </c>
      <c r="M59" s="56">
        <v>23854</v>
      </c>
      <c r="N59" s="56">
        <v>23854</v>
      </c>
      <c r="O59" s="56">
        <v>23854</v>
      </c>
      <c r="P59" s="56">
        <v>23854</v>
      </c>
      <c r="Q59" s="56">
        <v>23854</v>
      </c>
      <c r="R59" s="56">
        <v>23854</v>
      </c>
      <c r="S59" s="56">
        <v>23854</v>
      </c>
      <c r="T59" s="56">
        <v>23854</v>
      </c>
      <c r="U59" s="56">
        <v>23854</v>
      </c>
      <c r="V59" s="56">
        <v>23854</v>
      </c>
      <c r="W59" s="56">
        <v>23854</v>
      </c>
      <c r="X59" s="56">
        <v>23854</v>
      </c>
      <c r="Y59" s="56">
        <v>23854</v>
      </c>
      <c r="Z59" s="56">
        <v>23854</v>
      </c>
      <c r="AA59" s="56">
        <v>23854</v>
      </c>
      <c r="AB59" s="56">
        <v>23854</v>
      </c>
      <c r="AC59" s="56">
        <v>23854</v>
      </c>
      <c r="AD59" s="56">
        <v>23854</v>
      </c>
      <c r="AE59" s="56">
        <v>23854</v>
      </c>
      <c r="AF59" s="56">
        <v>23854</v>
      </c>
      <c r="AG59" s="56">
        <v>23854</v>
      </c>
      <c r="AH59" s="56">
        <v>23854</v>
      </c>
    </row>
    <row r="60" spans="1:34" s="57" customFormat="1" ht="15" customHeight="1" x14ac:dyDescent="0.2">
      <c r="A60" s="58"/>
      <c r="B60" s="58"/>
      <c r="C60" s="58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</row>
    <row r="61" spans="1:34" s="57" customFormat="1" ht="15" customHeight="1" x14ac:dyDescent="0.2">
      <c r="A61" s="58"/>
      <c r="B61" s="55" t="s">
        <v>59</v>
      </c>
      <c r="C61" s="55" t="s">
        <v>37</v>
      </c>
      <c r="D61" s="56"/>
      <c r="E61" s="56">
        <v>1</v>
      </c>
      <c r="F61" s="56">
        <v>1</v>
      </c>
      <c r="G61" s="56">
        <v>1</v>
      </c>
      <c r="H61" s="56">
        <v>1</v>
      </c>
      <c r="I61" s="56">
        <v>1</v>
      </c>
      <c r="J61" s="56">
        <v>1</v>
      </c>
      <c r="K61" s="56">
        <v>1</v>
      </c>
      <c r="L61" s="56">
        <v>1</v>
      </c>
      <c r="M61" s="56">
        <v>1</v>
      </c>
      <c r="N61" s="56">
        <v>1</v>
      </c>
      <c r="O61" s="56">
        <v>1</v>
      </c>
      <c r="P61" s="56">
        <v>1</v>
      </c>
      <c r="Q61" s="56">
        <v>1</v>
      </c>
      <c r="R61" s="56">
        <v>1</v>
      </c>
      <c r="S61" s="56">
        <v>1</v>
      </c>
      <c r="T61" s="56">
        <v>1</v>
      </c>
      <c r="U61" s="56">
        <v>1</v>
      </c>
      <c r="V61" s="56">
        <v>1</v>
      </c>
      <c r="W61" s="56">
        <v>1</v>
      </c>
      <c r="X61" s="56">
        <v>1</v>
      </c>
      <c r="Y61" s="56">
        <v>1</v>
      </c>
      <c r="Z61" s="56">
        <v>1</v>
      </c>
      <c r="AA61" s="56">
        <v>1</v>
      </c>
      <c r="AB61" s="56">
        <v>1</v>
      </c>
      <c r="AC61" s="56">
        <v>1</v>
      </c>
      <c r="AD61" s="56">
        <v>1</v>
      </c>
      <c r="AE61" s="56">
        <v>1</v>
      </c>
      <c r="AF61" s="56">
        <v>1</v>
      </c>
      <c r="AG61" s="56">
        <v>1</v>
      </c>
      <c r="AH61" s="56">
        <v>1</v>
      </c>
    </row>
    <row r="62" spans="1:34" s="57" customFormat="1" ht="15" customHeight="1" x14ac:dyDescent="0.2">
      <c r="A62" s="58"/>
      <c r="B62" s="55" t="s">
        <v>60</v>
      </c>
      <c r="C62" s="55" t="s">
        <v>37</v>
      </c>
      <c r="D62" s="56"/>
      <c r="E62" s="56">
        <v>0.252</v>
      </c>
      <c r="F62" s="56">
        <v>0.252</v>
      </c>
      <c r="G62" s="56">
        <v>0.252</v>
      </c>
      <c r="H62" s="56">
        <v>0.252</v>
      </c>
      <c r="I62" s="56">
        <v>0.252</v>
      </c>
      <c r="J62" s="56">
        <v>0.252</v>
      </c>
      <c r="K62" s="56">
        <v>0.252</v>
      </c>
      <c r="L62" s="56">
        <v>0.252</v>
      </c>
      <c r="M62" s="56">
        <v>0.252</v>
      </c>
      <c r="N62" s="56">
        <v>0.252</v>
      </c>
      <c r="O62" s="56">
        <v>0.252</v>
      </c>
      <c r="P62" s="56">
        <v>0.252</v>
      </c>
      <c r="Q62" s="56">
        <v>0.252</v>
      </c>
      <c r="R62" s="56">
        <v>0.252</v>
      </c>
      <c r="S62" s="56">
        <v>0.252</v>
      </c>
      <c r="T62" s="56">
        <v>0.252</v>
      </c>
      <c r="U62" s="56">
        <v>0.252</v>
      </c>
      <c r="V62" s="56">
        <v>0.252</v>
      </c>
      <c r="W62" s="56">
        <v>0.252</v>
      </c>
      <c r="X62" s="56">
        <v>0.252</v>
      </c>
      <c r="Y62" s="56">
        <v>0.252</v>
      </c>
      <c r="Z62" s="56">
        <v>0.252</v>
      </c>
      <c r="AA62" s="56">
        <v>0.252</v>
      </c>
      <c r="AB62" s="56">
        <v>0.252</v>
      </c>
      <c r="AC62" s="56">
        <v>0.252</v>
      </c>
      <c r="AD62" s="56">
        <v>0.252</v>
      </c>
      <c r="AE62" s="56">
        <v>0.252</v>
      </c>
      <c r="AF62" s="56">
        <v>0.252</v>
      </c>
      <c r="AG62" s="56">
        <v>0.252</v>
      </c>
      <c r="AH62" s="56">
        <v>0.252</v>
      </c>
    </row>
    <row r="63" spans="1:34" s="57" customFormat="1" ht="15" customHeight="1" x14ac:dyDescent="0.2">
      <c r="A63" s="58"/>
      <c r="B63" s="54" t="s">
        <v>61</v>
      </c>
      <c r="C63" s="58"/>
      <c r="D63" s="56">
        <f>SUM($E$63:$AH$63)</f>
        <v>37.56</v>
      </c>
      <c r="E63" s="56">
        <v>1.252</v>
      </c>
      <c r="F63" s="56">
        <v>1.252</v>
      </c>
      <c r="G63" s="56">
        <v>1.252</v>
      </c>
      <c r="H63" s="56">
        <v>1.252</v>
      </c>
      <c r="I63" s="56">
        <v>1.252</v>
      </c>
      <c r="J63" s="56">
        <v>1.252</v>
      </c>
      <c r="K63" s="56">
        <v>1.252</v>
      </c>
      <c r="L63" s="56">
        <v>1.252</v>
      </c>
      <c r="M63" s="56">
        <v>1.252</v>
      </c>
      <c r="N63" s="56">
        <v>1.252</v>
      </c>
      <c r="O63" s="56">
        <v>1.252</v>
      </c>
      <c r="P63" s="56">
        <v>1.252</v>
      </c>
      <c r="Q63" s="56">
        <v>1.252</v>
      </c>
      <c r="R63" s="56">
        <v>1.252</v>
      </c>
      <c r="S63" s="56">
        <v>1.252</v>
      </c>
      <c r="T63" s="56">
        <v>1.252</v>
      </c>
      <c r="U63" s="56">
        <v>1.252</v>
      </c>
      <c r="V63" s="56">
        <v>1.252</v>
      </c>
      <c r="W63" s="56">
        <v>1.252</v>
      </c>
      <c r="X63" s="56">
        <v>1.252</v>
      </c>
      <c r="Y63" s="56">
        <v>1.252</v>
      </c>
      <c r="Z63" s="56">
        <v>1.252</v>
      </c>
      <c r="AA63" s="56">
        <v>1.252</v>
      </c>
      <c r="AB63" s="56">
        <v>1.252</v>
      </c>
      <c r="AC63" s="56">
        <v>1.252</v>
      </c>
      <c r="AD63" s="56">
        <v>1.252</v>
      </c>
      <c r="AE63" s="56">
        <v>1.252</v>
      </c>
      <c r="AF63" s="56">
        <v>1.252</v>
      </c>
      <c r="AG63" s="56">
        <v>1.252</v>
      </c>
      <c r="AH63" s="56">
        <v>1.252</v>
      </c>
    </row>
    <row r="64" spans="1:34" s="57" customFormat="1" ht="15" customHeight="1" x14ac:dyDescent="0.2">
      <c r="A64" s="58"/>
      <c r="B64" s="58"/>
      <c r="C64" s="58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</row>
    <row r="65" spans="1:34" s="57" customFormat="1" ht="15" customHeight="1" x14ac:dyDescent="0.2">
      <c r="A65" s="58"/>
      <c r="B65" s="55" t="s">
        <v>58</v>
      </c>
      <c r="C65" s="55" t="s">
        <v>37</v>
      </c>
      <c r="D65" s="56"/>
      <c r="E65" s="56">
        <v>23854</v>
      </c>
      <c r="F65" s="56">
        <v>23854</v>
      </c>
      <c r="G65" s="56">
        <v>23854</v>
      </c>
      <c r="H65" s="56">
        <v>23854</v>
      </c>
      <c r="I65" s="56">
        <v>23854</v>
      </c>
      <c r="J65" s="56">
        <v>23854</v>
      </c>
      <c r="K65" s="56">
        <v>23854</v>
      </c>
      <c r="L65" s="56">
        <v>23854</v>
      </c>
      <c r="M65" s="56">
        <v>23854</v>
      </c>
      <c r="N65" s="56">
        <v>23854</v>
      </c>
      <c r="O65" s="56">
        <v>23854</v>
      </c>
      <c r="P65" s="56">
        <v>23854</v>
      </c>
      <c r="Q65" s="56">
        <v>23854</v>
      </c>
      <c r="R65" s="56">
        <v>23854</v>
      </c>
      <c r="S65" s="56">
        <v>23854</v>
      </c>
      <c r="T65" s="56">
        <v>23854</v>
      </c>
      <c r="U65" s="56">
        <v>23854</v>
      </c>
      <c r="V65" s="56">
        <v>23854</v>
      </c>
      <c r="W65" s="56">
        <v>23854</v>
      </c>
      <c r="X65" s="56">
        <v>23854</v>
      </c>
      <c r="Y65" s="56">
        <v>23854</v>
      </c>
      <c r="Z65" s="56">
        <v>23854</v>
      </c>
      <c r="AA65" s="56">
        <v>23854</v>
      </c>
      <c r="AB65" s="56">
        <v>23854</v>
      </c>
      <c r="AC65" s="56">
        <v>23854</v>
      </c>
      <c r="AD65" s="56">
        <v>23854</v>
      </c>
      <c r="AE65" s="56">
        <v>23854</v>
      </c>
      <c r="AF65" s="56">
        <v>23854</v>
      </c>
      <c r="AG65" s="56">
        <v>23854</v>
      </c>
      <c r="AH65" s="56">
        <v>23854</v>
      </c>
    </row>
    <row r="66" spans="1:34" s="57" customFormat="1" ht="15" customHeight="1" x14ac:dyDescent="0.2">
      <c r="A66" s="58"/>
      <c r="B66" s="55" t="s">
        <v>61</v>
      </c>
      <c r="C66" s="55" t="s">
        <v>62</v>
      </c>
      <c r="D66" s="56"/>
      <c r="E66" s="56">
        <v>1.252</v>
      </c>
      <c r="F66" s="56">
        <v>1.252</v>
      </c>
      <c r="G66" s="56">
        <v>1.252</v>
      </c>
      <c r="H66" s="56">
        <v>1.252</v>
      </c>
      <c r="I66" s="56">
        <v>1.252</v>
      </c>
      <c r="J66" s="56">
        <v>1.252</v>
      </c>
      <c r="K66" s="56">
        <v>1.252</v>
      </c>
      <c r="L66" s="56">
        <v>1.252</v>
      </c>
      <c r="M66" s="56">
        <v>1.252</v>
      </c>
      <c r="N66" s="56">
        <v>1.252</v>
      </c>
      <c r="O66" s="56">
        <v>1.252</v>
      </c>
      <c r="P66" s="56">
        <v>1.252</v>
      </c>
      <c r="Q66" s="56">
        <v>1.252</v>
      </c>
      <c r="R66" s="56">
        <v>1.252</v>
      </c>
      <c r="S66" s="56">
        <v>1.252</v>
      </c>
      <c r="T66" s="56">
        <v>1.252</v>
      </c>
      <c r="U66" s="56">
        <v>1.252</v>
      </c>
      <c r="V66" s="56">
        <v>1.252</v>
      </c>
      <c r="W66" s="56">
        <v>1.252</v>
      </c>
      <c r="X66" s="56">
        <v>1.252</v>
      </c>
      <c r="Y66" s="56">
        <v>1.252</v>
      </c>
      <c r="Z66" s="56">
        <v>1.252</v>
      </c>
      <c r="AA66" s="56">
        <v>1.252</v>
      </c>
      <c r="AB66" s="56">
        <v>1.252</v>
      </c>
      <c r="AC66" s="56">
        <v>1.252</v>
      </c>
      <c r="AD66" s="56">
        <v>1.252</v>
      </c>
      <c r="AE66" s="56">
        <v>1.252</v>
      </c>
      <c r="AF66" s="56">
        <v>1.252</v>
      </c>
      <c r="AG66" s="56">
        <v>1.252</v>
      </c>
      <c r="AH66" s="56">
        <v>1.252</v>
      </c>
    </row>
    <row r="67" spans="1:34" s="57" customFormat="1" ht="15" customHeight="1" x14ac:dyDescent="0.2">
      <c r="A67" s="58"/>
      <c r="B67" s="54" t="s">
        <v>63</v>
      </c>
      <c r="C67" s="58"/>
      <c r="D67" s="56">
        <f>SUM($E$67:$AH$67)</f>
        <v>571581.46964856272</v>
      </c>
      <c r="E67" s="56">
        <v>19052.715654952077</v>
      </c>
      <c r="F67" s="56">
        <v>19052.715654952077</v>
      </c>
      <c r="G67" s="56">
        <v>19052.715654952077</v>
      </c>
      <c r="H67" s="56">
        <v>19052.715654952077</v>
      </c>
      <c r="I67" s="56">
        <v>19052.715654952077</v>
      </c>
      <c r="J67" s="56">
        <v>19052.715654952077</v>
      </c>
      <c r="K67" s="56">
        <v>19052.715654952077</v>
      </c>
      <c r="L67" s="56">
        <v>19052.715654952077</v>
      </c>
      <c r="M67" s="56">
        <v>19052.715654952077</v>
      </c>
      <c r="N67" s="56">
        <v>19052.715654952077</v>
      </c>
      <c r="O67" s="56">
        <v>19052.715654952077</v>
      </c>
      <c r="P67" s="56">
        <v>19052.715654952077</v>
      </c>
      <c r="Q67" s="56">
        <v>19052.715654952077</v>
      </c>
      <c r="R67" s="56">
        <v>19052.715654952077</v>
      </c>
      <c r="S67" s="56">
        <v>19052.715654952077</v>
      </c>
      <c r="T67" s="56">
        <v>19052.715654952077</v>
      </c>
      <c r="U67" s="56">
        <v>19052.715654952077</v>
      </c>
      <c r="V67" s="56">
        <v>19052.715654952077</v>
      </c>
      <c r="W67" s="56">
        <v>19052.715654952077</v>
      </c>
      <c r="X67" s="56">
        <v>19052.715654952077</v>
      </c>
      <c r="Y67" s="56">
        <v>19052.715654952077</v>
      </c>
      <c r="Z67" s="56">
        <v>19052.715654952077</v>
      </c>
      <c r="AA67" s="56">
        <v>19052.715654952077</v>
      </c>
      <c r="AB67" s="56">
        <v>19052.715654952077</v>
      </c>
      <c r="AC67" s="56">
        <v>19052.715654952077</v>
      </c>
      <c r="AD67" s="56">
        <v>19052.715654952077</v>
      </c>
      <c r="AE67" s="56">
        <v>19052.715654952077</v>
      </c>
      <c r="AF67" s="56">
        <v>19052.715654952077</v>
      </c>
      <c r="AG67" s="56">
        <v>19052.715654952077</v>
      </c>
      <c r="AH67" s="56">
        <v>19052.715654952077</v>
      </c>
    </row>
    <row r="68" spans="1:34" s="57" customFormat="1" ht="15" customHeight="1" x14ac:dyDescent="0.2">
      <c r="A68" s="58"/>
      <c r="B68" s="58"/>
      <c r="C68" s="58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56"/>
      <c r="AH68" s="56"/>
    </row>
    <row r="69" spans="1:34" s="57" customFormat="1" ht="15" customHeight="1" x14ac:dyDescent="0.2">
      <c r="A69" s="58"/>
      <c r="B69" s="55" t="s">
        <v>64</v>
      </c>
      <c r="C69" s="55" t="s">
        <v>37</v>
      </c>
      <c r="D69" s="56"/>
      <c r="E69" s="56">
        <v>150749.79</v>
      </c>
      <c r="F69" s="56">
        <v>150749.79</v>
      </c>
      <c r="G69" s="56">
        <v>150749.79</v>
      </c>
      <c r="H69" s="56">
        <v>150749.79</v>
      </c>
      <c r="I69" s="56">
        <v>150749.79</v>
      </c>
      <c r="J69" s="56">
        <v>150749.79</v>
      </c>
      <c r="K69" s="56">
        <v>150749.79</v>
      </c>
      <c r="L69" s="56">
        <v>150749.79</v>
      </c>
      <c r="M69" s="56">
        <v>150749.79</v>
      </c>
      <c r="N69" s="56">
        <v>150749.79</v>
      </c>
      <c r="O69" s="56">
        <v>150749.79</v>
      </c>
      <c r="P69" s="56">
        <v>150749.79</v>
      </c>
      <c r="Q69" s="56">
        <v>150749.79</v>
      </c>
      <c r="R69" s="56">
        <v>150749.79</v>
      </c>
      <c r="S69" s="56">
        <v>150749.79</v>
      </c>
      <c r="T69" s="56">
        <v>150749.79</v>
      </c>
      <c r="U69" s="56">
        <v>150749.79</v>
      </c>
      <c r="V69" s="56">
        <v>150749.79</v>
      </c>
      <c r="W69" s="56">
        <v>150749.79</v>
      </c>
      <c r="X69" s="56">
        <v>150749.79</v>
      </c>
      <c r="Y69" s="56">
        <v>150749.79</v>
      </c>
      <c r="Z69" s="56">
        <v>150749.79</v>
      </c>
      <c r="AA69" s="56">
        <v>150749.79</v>
      </c>
      <c r="AB69" s="56">
        <v>150749.79</v>
      </c>
      <c r="AC69" s="56">
        <v>150749.79</v>
      </c>
      <c r="AD69" s="56">
        <v>150749.79</v>
      </c>
      <c r="AE69" s="56">
        <v>150749.79</v>
      </c>
      <c r="AF69" s="56">
        <v>150749.79</v>
      </c>
      <c r="AG69" s="56">
        <v>150749.79</v>
      </c>
      <c r="AH69" s="56">
        <v>150749.79</v>
      </c>
    </row>
    <row r="70" spans="1:34" s="57" customFormat="1" ht="15" customHeight="1" x14ac:dyDescent="0.2">
      <c r="A70" s="58"/>
      <c r="B70" s="55" t="s">
        <v>65</v>
      </c>
      <c r="C70" s="55" t="s">
        <v>62</v>
      </c>
      <c r="D70" s="56"/>
      <c r="E70" s="56">
        <v>1000</v>
      </c>
      <c r="F70" s="56">
        <v>1000</v>
      </c>
      <c r="G70" s="56">
        <v>1000</v>
      </c>
      <c r="H70" s="56">
        <v>1000</v>
      </c>
      <c r="I70" s="56">
        <v>1000</v>
      </c>
      <c r="J70" s="56">
        <v>1000</v>
      </c>
      <c r="K70" s="56">
        <v>1000</v>
      </c>
      <c r="L70" s="56">
        <v>1000</v>
      </c>
      <c r="M70" s="56">
        <v>1000</v>
      </c>
      <c r="N70" s="56">
        <v>1000</v>
      </c>
      <c r="O70" s="56">
        <v>1000</v>
      </c>
      <c r="P70" s="56">
        <v>1000</v>
      </c>
      <c r="Q70" s="56">
        <v>1000</v>
      </c>
      <c r="R70" s="56">
        <v>1000</v>
      </c>
      <c r="S70" s="56">
        <v>1000</v>
      </c>
      <c r="T70" s="56">
        <v>1000</v>
      </c>
      <c r="U70" s="56">
        <v>1000</v>
      </c>
      <c r="V70" s="56">
        <v>1000</v>
      </c>
      <c r="W70" s="56">
        <v>1000</v>
      </c>
      <c r="X70" s="56">
        <v>1000</v>
      </c>
      <c r="Y70" s="56">
        <v>1000</v>
      </c>
      <c r="Z70" s="56">
        <v>1000</v>
      </c>
      <c r="AA70" s="56">
        <v>1000</v>
      </c>
      <c r="AB70" s="56">
        <v>1000</v>
      </c>
      <c r="AC70" s="56">
        <v>1000</v>
      </c>
      <c r="AD70" s="56">
        <v>1000</v>
      </c>
      <c r="AE70" s="56">
        <v>1000</v>
      </c>
      <c r="AF70" s="56">
        <v>1000</v>
      </c>
      <c r="AG70" s="56">
        <v>1000</v>
      </c>
      <c r="AH70" s="56">
        <v>1000</v>
      </c>
    </row>
    <row r="71" spans="1:34" s="57" customFormat="1" ht="15" customHeight="1" x14ac:dyDescent="0.2">
      <c r="A71" s="58"/>
      <c r="B71" s="54" t="s">
        <v>66</v>
      </c>
      <c r="C71" s="58"/>
      <c r="D71" s="56">
        <f>SUM($E$71:$AH$71)</f>
        <v>4522.4936999999982</v>
      </c>
      <c r="E71" s="56">
        <v>150.74979000000002</v>
      </c>
      <c r="F71" s="56">
        <v>150.74979000000002</v>
      </c>
      <c r="G71" s="56">
        <v>150.74979000000002</v>
      </c>
      <c r="H71" s="56">
        <v>150.74979000000002</v>
      </c>
      <c r="I71" s="56">
        <v>150.74979000000002</v>
      </c>
      <c r="J71" s="56">
        <v>150.74979000000002</v>
      </c>
      <c r="K71" s="56">
        <v>150.74979000000002</v>
      </c>
      <c r="L71" s="56">
        <v>150.74979000000002</v>
      </c>
      <c r="M71" s="56">
        <v>150.74979000000002</v>
      </c>
      <c r="N71" s="56">
        <v>150.74979000000002</v>
      </c>
      <c r="O71" s="56">
        <v>150.74979000000002</v>
      </c>
      <c r="P71" s="56">
        <v>150.74979000000002</v>
      </c>
      <c r="Q71" s="56">
        <v>150.74979000000002</v>
      </c>
      <c r="R71" s="56">
        <v>150.74979000000002</v>
      </c>
      <c r="S71" s="56">
        <v>150.74979000000002</v>
      </c>
      <c r="T71" s="56">
        <v>150.74979000000002</v>
      </c>
      <c r="U71" s="56">
        <v>150.74979000000002</v>
      </c>
      <c r="V71" s="56">
        <v>150.74979000000002</v>
      </c>
      <c r="W71" s="56">
        <v>150.74979000000002</v>
      </c>
      <c r="X71" s="56">
        <v>150.74979000000002</v>
      </c>
      <c r="Y71" s="56">
        <v>150.74979000000002</v>
      </c>
      <c r="Z71" s="56">
        <v>150.74979000000002</v>
      </c>
      <c r="AA71" s="56">
        <v>150.74979000000002</v>
      </c>
      <c r="AB71" s="56">
        <v>150.74979000000002</v>
      </c>
      <c r="AC71" s="56">
        <v>150.74979000000002</v>
      </c>
      <c r="AD71" s="56">
        <v>150.74979000000002</v>
      </c>
      <c r="AE71" s="56">
        <v>150.74979000000002</v>
      </c>
      <c r="AF71" s="56">
        <v>150.74979000000002</v>
      </c>
      <c r="AG71" s="56">
        <v>150.74979000000002</v>
      </c>
      <c r="AH71" s="56">
        <v>150.74979000000002</v>
      </c>
    </row>
    <row r="72" spans="1:34" s="57" customFormat="1" ht="15" customHeight="1" x14ac:dyDescent="0.2">
      <c r="A72" s="58"/>
      <c r="B72" s="58"/>
      <c r="C72" s="58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56"/>
      <c r="AF72" s="56"/>
      <c r="AG72" s="56"/>
      <c r="AH72" s="56"/>
    </row>
    <row r="73" spans="1:34" s="57" customFormat="1" ht="15" customHeight="1" x14ac:dyDescent="0.2">
      <c r="A73" s="58"/>
      <c r="B73" s="55" t="s">
        <v>66</v>
      </c>
      <c r="C73" s="55" t="s">
        <v>37</v>
      </c>
      <c r="D73" s="56"/>
      <c r="E73" s="56">
        <v>150.74979000000002</v>
      </c>
      <c r="F73" s="56">
        <v>150.74979000000002</v>
      </c>
      <c r="G73" s="56">
        <v>150.74979000000002</v>
      </c>
      <c r="H73" s="56">
        <v>150.74979000000002</v>
      </c>
      <c r="I73" s="56">
        <v>150.74979000000002</v>
      </c>
      <c r="J73" s="56">
        <v>150.74979000000002</v>
      </c>
      <c r="K73" s="56">
        <v>150.74979000000002</v>
      </c>
      <c r="L73" s="56">
        <v>150.74979000000002</v>
      </c>
      <c r="M73" s="56">
        <v>150.74979000000002</v>
      </c>
      <c r="N73" s="56">
        <v>150.74979000000002</v>
      </c>
      <c r="O73" s="56">
        <v>150.74979000000002</v>
      </c>
      <c r="P73" s="56">
        <v>150.74979000000002</v>
      </c>
      <c r="Q73" s="56">
        <v>150.74979000000002</v>
      </c>
      <c r="R73" s="56">
        <v>150.74979000000002</v>
      </c>
      <c r="S73" s="56">
        <v>150.74979000000002</v>
      </c>
      <c r="T73" s="56">
        <v>150.74979000000002</v>
      </c>
      <c r="U73" s="56">
        <v>150.74979000000002</v>
      </c>
      <c r="V73" s="56">
        <v>150.74979000000002</v>
      </c>
      <c r="W73" s="56">
        <v>150.74979000000002</v>
      </c>
      <c r="X73" s="56">
        <v>150.74979000000002</v>
      </c>
      <c r="Y73" s="56">
        <v>150.74979000000002</v>
      </c>
      <c r="Z73" s="56">
        <v>150.74979000000002</v>
      </c>
      <c r="AA73" s="56">
        <v>150.74979000000002</v>
      </c>
      <c r="AB73" s="56">
        <v>150.74979000000002</v>
      </c>
      <c r="AC73" s="56">
        <v>150.74979000000002</v>
      </c>
      <c r="AD73" s="56">
        <v>150.74979000000002</v>
      </c>
      <c r="AE73" s="56">
        <v>150.74979000000002</v>
      </c>
      <c r="AF73" s="56">
        <v>150.74979000000002</v>
      </c>
      <c r="AG73" s="56">
        <v>150.74979000000002</v>
      </c>
      <c r="AH73" s="56">
        <v>150.74979000000002</v>
      </c>
    </row>
    <row r="74" spans="1:34" s="57" customFormat="1" ht="15" customHeight="1" x14ac:dyDescent="0.2">
      <c r="A74" s="58"/>
      <c r="B74" s="55" t="s">
        <v>63</v>
      </c>
      <c r="C74" s="55" t="s">
        <v>62</v>
      </c>
      <c r="D74" s="56"/>
      <c r="E74" s="56">
        <v>19052.715654952077</v>
      </c>
      <c r="F74" s="56">
        <v>19052.715654952077</v>
      </c>
      <c r="G74" s="56">
        <v>19052.715654952077</v>
      </c>
      <c r="H74" s="56">
        <v>19052.715654952077</v>
      </c>
      <c r="I74" s="56">
        <v>19052.715654952077</v>
      </c>
      <c r="J74" s="56">
        <v>19052.715654952077</v>
      </c>
      <c r="K74" s="56">
        <v>19052.715654952077</v>
      </c>
      <c r="L74" s="56">
        <v>19052.715654952077</v>
      </c>
      <c r="M74" s="56">
        <v>19052.715654952077</v>
      </c>
      <c r="N74" s="56">
        <v>19052.715654952077</v>
      </c>
      <c r="O74" s="56">
        <v>19052.715654952077</v>
      </c>
      <c r="P74" s="56">
        <v>19052.715654952077</v>
      </c>
      <c r="Q74" s="56">
        <v>19052.715654952077</v>
      </c>
      <c r="R74" s="56">
        <v>19052.715654952077</v>
      </c>
      <c r="S74" s="56">
        <v>19052.715654952077</v>
      </c>
      <c r="T74" s="56">
        <v>19052.715654952077</v>
      </c>
      <c r="U74" s="56">
        <v>19052.715654952077</v>
      </c>
      <c r="V74" s="56">
        <v>19052.715654952077</v>
      </c>
      <c r="W74" s="56">
        <v>19052.715654952077</v>
      </c>
      <c r="X74" s="56">
        <v>19052.715654952077</v>
      </c>
      <c r="Y74" s="56">
        <v>19052.715654952077</v>
      </c>
      <c r="Z74" s="56">
        <v>19052.715654952077</v>
      </c>
      <c r="AA74" s="56">
        <v>19052.715654952077</v>
      </c>
      <c r="AB74" s="56">
        <v>19052.715654952077</v>
      </c>
      <c r="AC74" s="56">
        <v>19052.715654952077</v>
      </c>
      <c r="AD74" s="56">
        <v>19052.715654952077</v>
      </c>
      <c r="AE74" s="56">
        <v>19052.715654952077</v>
      </c>
      <c r="AF74" s="56">
        <v>19052.715654952077</v>
      </c>
      <c r="AG74" s="56">
        <v>19052.715654952077</v>
      </c>
      <c r="AH74" s="56">
        <v>19052.715654952077</v>
      </c>
    </row>
    <row r="75" spans="1:34" s="57" customFormat="1" ht="15" customHeight="1" x14ac:dyDescent="0.2">
      <c r="A75" s="58"/>
      <c r="B75" s="54" t="s">
        <v>67</v>
      </c>
      <c r="C75" s="58"/>
      <c r="D75" s="56">
        <f>SUM($E$75:$AH$75)</f>
        <v>0.23736740640563447</v>
      </c>
      <c r="E75" s="56">
        <v>7.9122468801878093E-3</v>
      </c>
      <c r="F75" s="56">
        <v>7.9122468801878093E-3</v>
      </c>
      <c r="G75" s="56">
        <v>7.9122468801878093E-3</v>
      </c>
      <c r="H75" s="56">
        <v>7.9122468801878093E-3</v>
      </c>
      <c r="I75" s="56">
        <v>7.9122468801878093E-3</v>
      </c>
      <c r="J75" s="56">
        <v>7.9122468801878093E-3</v>
      </c>
      <c r="K75" s="56">
        <v>7.9122468801878093E-3</v>
      </c>
      <c r="L75" s="56">
        <v>7.9122468801878093E-3</v>
      </c>
      <c r="M75" s="56">
        <v>7.9122468801878093E-3</v>
      </c>
      <c r="N75" s="56">
        <v>7.9122468801878093E-3</v>
      </c>
      <c r="O75" s="56">
        <v>7.9122468801878093E-3</v>
      </c>
      <c r="P75" s="56">
        <v>7.9122468801878093E-3</v>
      </c>
      <c r="Q75" s="56">
        <v>7.9122468801878093E-3</v>
      </c>
      <c r="R75" s="56">
        <v>7.9122468801878093E-3</v>
      </c>
      <c r="S75" s="56">
        <v>7.9122468801878093E-3</v>
      </c>
      <c r="T75" s="56">
        <v>7.9122468801878093E-3</v>
      </c>
      <c r="U75" s="56">
        <v>7.9122468801878093E-3</v>
      </c>
      <c r="V75" s="56">
        <v>7.9122468801878093E-3</v>
      </c>
      <c r="W75" s="56">
        <v>7.9122468801878093E-3</v>
      </c>
      <c r="X75" s="56">
        <v>7.9122468801878093E-3</v>
      </c>
      <c r="Y75" s="56">
        <v>7.9122468801878093E-3</v>
      </c>
      <c r="Z75" s="56">
        <v>7.9122468801878093E-3</v>
      </c>
      <c r="AA75" s="56">
        <v>7.9122468801878093E-3</v>
      </c>
      <c r="AB75" s="56">
        <v>7.9122468801878093E-3</v>
      </c>
      <c r="AC75" s="56">
        <v>7.9122468801878093E-3</v>
      </c>
      <c r="AD75" s="56">
        <v>7.9122468801878093E-3</v>
      </c>
      <c r="AE75" s="56">
        <v>7.9122468801878093E-3</v>
      </c>
      <c r="AF75" s="56">
        <v>7.9122468801878093E-3</v>
      </c>
      <c r="AG75" s="56">
        <v>7.9122468801878093E-3</v>
      </c>
      <c r="AH75" s="56">
        <v>7.9122468801878093E-3</v>
      </c>
    </row>
    <row r="76" spans="1:34" s="57" customFormat="1" ht="15" customHeight="1" x14ac:dyDescent="0.2">
      <c r="A76" s="58"/>
      <c r="B76" s="58"/>
      <c r="C76" s="58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</row>
    <row r="77" spans="1:34" s="57" customFormat="1" ht="15" customHeight="1" x14ac:dyDescent="0.2">
      <c r="A77" s="58"/>
      <c r="B77" s="55" t="s">
        <v>59</v>
      </c>
      <c r="C77" s="55" t="s">
        <v>37</v>
      </c>
      <c r="D77" s="56"/>
      <c r="E77" s="56">
        <v>1</v>
      </c>
      <c r="F77" s="56">
        <v>1</v>
      </c>
      <c r="G77" s="56">
        <v>1</v>
      </c>
      <c r="H77" s="56">
        <v>1</v>
      </c>
      <c r="I77" s="56">
        <v>1</v>
      </c>
      <c r="J77" s="56">
        <v>1</v>
      </c>
      <c r="K77" s="56">
        <v>1</v>
      </c>
      <c r="L77" s="56">
        <v>1</v>
      </c>
      <c r="M77" s="56">
        <v>1</v>
      </c>
      <c r="N77" s="56">
        <v>1</v>
      </c>
      <c r="O77" s="56">
        <v>1</v>
      </c>
      <c r="P77" s="56">
        <v>1</v>
      </c>
      <c r="Q77" s="56">
        <v>1</v>
      </c>
      <c r="R77" s="56">
        <v>1</v>
      </c>
      <c r="S77" s="56">
        <v>1</v>
      </c>
      <c r="T77" s="56">
        <v>1</v>
      </c>
      <c r="U77" s="56">
        <v>1</v>
      </c>
      <c r="V77" s="56">
        <v>1</v>
      </c>
      <c r="W77" s="56">
        <v>1</v>
      </c>
      <c r="X77" s="56">
        <v>1</v>
      </c>
      <c r="Y77" s="56">
        <v>1</v>
      </c>
      <c r="Z77" s="56">
        <v>1</v>
      </c>
      <c r="AA77" s="56">
        <v>1</v>
      </c>
      <c r="AB77" s="56">
        <v>1</v>
      </c>
      <c r="AC77" s="56">
        <v>1</v>
      </c>
      <c r="AD77" s="56">
        <v>1</v>
      </c>
      <c r="AE77" s="56">
        <v>0</v>
      </c>
      <c r="AF77" s="56">
        <v>1</v>
      </c>
      <c r="AG77" s="56">
        <v>1</v>
      </c>
      <c r="AH77" s="56">
        <v>1</v>
      </c>
    </row>
    <row r="78" spans="1:34" s="57" customFormat="1" ht="15" customHeight="1" x14ac:dyDescent="0.2">
      <c r="A78" s="58"/>
      <c r="B78" s="54" t="s">
        <v>68</v>
      </c>
      <c r="C78" s="58"/>
      <c r="D78" s="56">
        <f>SUM($E$78:$AH$78)</f>
        <v>29</v>
      </c>
      <c r="E78" s="56">
        <v>1</v>
      </c>
      <c r="F78" s="56">
        <v>1</v>
      </c>
      <c r="G78" s="56">
        <v>1</v>
      </c>
      <c r="H78" s="56">
        <v>1</v>
      </c>
      <c r="I78" s="56">
        <v>1</v>
      </c>
      <c r="J78" s="56">
        <v>1</v>
      </c>
      <c r="K78" s="56">
        <v>1</v>
      </c>
      <c r="L78" s="56">
        <v>1</v>
      </c>
      <c r="M78" s="56">
        <v>1</v>
      </c>
      <c r="N78" s="56">
        <v>1</v>
      </c>
      <c r="O78" s="56">
        <v>1</v>
      </c>
      <c r="P78" s="56">
        <v>1</v>
      </c>
      <c r="Q78" s="56">
        <v>1</v>
      </c>
      <c r="R78" s="56">
        <v>1</v>
      </c>
      <c r="S78" s="56">
        <v>1</v>
      </c>
      <c r="T78" s="56">
        <v>1</v>
      </c>
      <c r="U78" s="56">
        <v>1</v>
      </c>
      <c r="V78" s="56">
        <v>1</v>
      </c>
      <c r="W78" s="56">
        <v>1</v>
      </c>
      <c r="X78" s="56">
        <v>1</v>
      </c>
      <c r="Y78" s="56">
        <v>1</v>
      </c>
      <c r="Z78" s="56">
        <v>1</v>
      </c>
      <c r="AA78" s="56">
        <v>1</v>
      </c>
      <c r="AB78" s="56">
        <v>1</v>
      </c>
      <c r="AC78" s="56">
        <v>1</v>
      </c>
      <c r="AD78" s="56">
        <v>1</v>
      </c>
      <c r="AE78" s="56">
        <v>0</v>
      </c>
      <c r="AF78" s="56">
        <v>1</v>
      </c>
      <c r="AG78" s="56">
        <v>1</v>
      </c>
      <c r="AH78" s="56">
        <v>1</v>
      </c>
    </row>
    <row r="79" spans="1:34" s="57" customFormat="1" ht="15" customHeight="1" x14ac:dyDescent="0.2">
      <c r="A79" s="58"/>
      <c r="B79" s="58"/>
      <c r="C79" s="58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</row>
    <row r="80" spans="1:34" s="57" customFormat="1" ht="15" customHeight="1" x14ac:dyDescent="0.2">
      <c r="A80" s="58"/>
      <c r="B80" s="55" t="s">
        <v>68</v>
      </c>
      <c r="C80" s="55" t="s">
        <v>37</v>
      </c>
      <c r="D80" s="56"/>
      <c r="E80" s="56">
        <v>1</v>
      </c>
      <c r="F80" s="56">
        <v>1</v>
      </c>
      <c r="G80" s="56">
        <v>1</v>
      </c>
      <c r="H80" s="56">
        <v>1</v>
      </c>
      <c r="I80" s="56">
        <v>1</v>
      </c>
      <c r="J80" s="56">
        <v>1</v>
      </c>
      <c r="K80" s="56">
        <v>1</v>
      </c>
      <c r="L80" s="56">
        <v>1</v>
      </c>
      <c r="M80" s="56">
        <v>1</v>
      </c>
      <c r="N80" s="56">
        <v>1</v>
      </c>
      <c r="O80" s="56">
        <v>1</v>
      </c>
      <c r="P80" s="56">
        <v>1</v>
      </c>
      <c r="Q80" s="56">
        <v>1</v>
      </c>
      <c r="R80" s="56">
        <v>1</v>
      </c>
      <c r="S80" s="56">
        <v>1</v>
      </c>
      <c r="T80" s="56">
        <v>1</v>
      </c>
      <c r="U80" s="56">
        <v>1</v>
      </c>
      <c r="V80" s="56">
        <v>1</v>
      </c>
      <c r="W80" s="56">
        <v>1</v>
      </c>
      <c r="X80" s="56">
        <v>1</v>
      </c>
      <c r="Y80" s="56">
        <v>1</v>
      </c>
      <c r="Z80" s="56">
        <v>1</v>
      </c>
      <c r="AA80" s="56">
        <v>1</v>
      </c>
      <c r="AB80" s="56">
        <v>1</v>
      </c>
      <c r="AC80" s="56">
        <v>1</v>
      </c>
      <c r="AD80" s="56">
        <v>1</v>
      </c>
      <c r="AE80" s="56">
        <v>0</v>
      </c>
      <c r="AF80" s="56">
        <v>1</v>
      </c>
      <c r="AG80" s="56">
        <v>1</v>
      </c>
      <c r="AH80" s="56">
        <v>1</v>
      </c>
    </row>
    <row r="81" spans="1:34" s="57" customFormat="1" ht="15" customHeight="1" x14ac:dyDescent="0.2">
      <c r="A81" s="58"/>
      <c r="B81" s="55" t="s">
        <v>67</v>
      </c>
      <c r="C81" s="55" t="s">
        <v>57</v>
      </c>
      <c r="D81" s="56"/>
      <c r="E81" s="56">
        <v>7.9122468801878093E-3</v>
      </c>
      <c r="F81" s="56">
        <v>7.9122468801878093E-3</v>
      </c>
      <c r="G81" s="56">
        <v>7.9122468801878093E-3</v>
      </c>
      <c r="H81" s="56">
        <v>7.9122468801878093E-3</v>
      </c>
      <c r="I81" s="56">
        <v>7.9122468801878093E-3</v>
      </c>
      <c r="J81" s="56">
        <v>7.9122468801878093E-3</v>
      </c>
      <c r="K81" s="56">
        <v>7.9122468801878093E-3</v>
      </c>
      <c r="L81" s="56">
        <v>7.9122468801878093E-3</v>
      </c>
      <c r="M81" s="56">
        <v>7.9122468801878093E-3</v>
      </c>
      <c r="N81" s="56">
        <v>7.9122468801878093E-3</v>
      </c>
      <c r="O81" s="56">
        <v>7.9122468801878093E-3</v>
      </c>
      <c r="P81" s="56">
        <v>7.9122468801878093E-3</v>
      </c>
      <c r="Q81" s="56">
        <v>7.9122468801878093E-3</v>
      </c>
      <c r="R81" s="56">
        <v>7.9122468801878093E-3</v>
      </c>
      <c r="S81" s="56">
        <v>7.9122468801878093E-3</v>
      </c>
      <c r="T81" s="56">
        <v>7.9122468801878093E-3</v>
      </c>
      <c r="U81" s="56">
        <v>7.9122468801878093E-3</v>
      </c>
      <c r="V81" s="56">
        <v>7.9122468801878093E-3</v>
      </c>
      <c r="W81" s="56">
        <v>7.9122468801878093E-3</v>
      </c>
      <c r="X81" s="56">
        <v>7.9122468801878093E-3</v>
      </c>
      <c r="Y81" s="56">
        <v>7.9122468801878093E-3</v>
      </c>
      <c r="Z81" s="56">
        <v>7.9122468801878093E-3</v>
      </c>
      <c r="AA81" s="56">
        <v>7.9122468801878093E-3</v>
      </c>
      <c r="AB81" s="56">
        <v>7.9122468801878093E-3</v>
      </c>
      <c r="AC81" s="56">
        <v>7.9122468801878093E-3</v>
      </c>
      <c r="AD81" s="56">
        <v>7.9122468801878093E-3</v>
      </c>
      <c r="AE81" s="56">
        <v>7.9122468801878093E-3</v>
      </c>
      <c r="AF81" s="56">
        <v>7.9122468801878093E-3</v>
      </c>
      <c r="AG81" s="56">
        <v>7.9122468801878093E-3</v>
      </c>
      <c r="AH81" s="56">
        <v>7.9122468801878093E-3</v>
      </c>
    </row>
    <row r="82" spans="1:34" s="57" customFormat="1" ht="15" customHeight="1" x14ac:dyDescent="0.2">
      <c r="A82" s="58"/>
      <c r="B82" s="54" t="s">
        <v>69</v>
      </c>
      <c r="C82" s="58"/>
      <c r="D82" s="56">
        <f>SUM($E$82:$AH$82)</f>
        <v>28.762632593594354</v>
      </c>
      <c r="E82" s="56">
        <v>0.99208775311981223</v>
      </c>
      <c r="F82" s="56">
        <v>0.99208775311981223</v>
      </c>
      <c r="G82" s="56">
        <v>0.99208775311981223</v>
      </c>
      <c r="H82" s="56">
        <v>0.99208775311981223</v>
      </c>
      <c r="I82" s="56">
        <v>0.99208775311981223</v>
      </c>
      <c r="J82" s="56">
        <v>0.99208775311981223</v>
      </c>
      <c r="K82" s="56">
        <v>0.99208775311981223</v>
      </c>
      <c r="L82" s="56">
        <v>0.99208775311981223</v>
      </c>
      <c r="M82" s="56">
        <v>0.99208775311981223</v>
      </c>
      <c r="N82" s="56">
        <v>0.99208775311981223</v>
      </c>
      <c r="O82" s="56">
        <v>0.99208775311981223</v>
      </c>
      <c r="P82" s="56">
        <v>0.99208775311981223</v>
      </c>
      <c r="Q82" s="56">
        <v>0.99208775311981223</v>
      </c>
      <c r="R82" s="56">
        <v>0.99208775311981223</v>
      </c>
      <c r="S82" s="56">
        <v>0.99208775311981223</v>
      </c>
      <c r="T82" s="56">
        <v>0.99208775311981223</v>
      </c>
      <c r="U82" s="56">
        <v>0.99208775311981223</v>
      </c>
      <c r="V82" s="56">
        <v>0.99208775311981223</v>
      </c>
      <c r="W82" s="56">
        <v>0.99208775311981223</v>
      </c>
      <c r="X82" s="56">
        <v>0.99208775311981223</v>
      </c>
      <c r="Y82" s="56">
        <v>0.99208775311981223</v>
      </c>
      <c r="Z82" s="56">
        <v>0.99208775311981223</v>
      </c>
      <c r="AA82" s="56">
        <v>0.99208775311981223</v>
      </c>
      <c r="AB82" s="56">
        <v>0.99208775311981223</v>
      </c>
      <c r="AC82" s="56">
        <v>0.99208775311981223</v>
      </c>
      <c r="AD82" s="56">
        <v>0.99208775311981223</v>
      </c>
      <c r="AE82" s="56">
        <v>-7.9122468801878093E-3</v>
      </c>
      <c r="AF82" s="56">
        <v>0.99208775311981223</v>
      </c>
      <c r="AG82" s="56">
        <v>0.99208775311981223</v>
      </c>
      <c r="AH82" s="56">
        <v>0.99208775311981223</v>
      </c>
    </row>
    <row r="83" spans="1:34" s="57" customFormat="1" ht="15" customHeight="1" x14ac:dyDescent="0.2">
      <c r="A83" s="58"/>
      <c r="B83" s="58"/>
      <c r="C83" s="58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56"/>
      <c r="AB83" s="56"/>
      <c r="AC83" s="56"/>
      <c r="AD83" s="56"/>
      <c r="AE83" s="56"/>
      <c r="AF83" s="56"/>
      <c r="AG83" s="56"/>
      <c r="AH83" s="56"/>
    </row>
    <row r="84" spans="1:34" s="57" customFormat="1" ht="15" customHeight="1" x14ac:dyDescent="0.2">
      <c r="A84" s="58"/>
      <c r="B84" s="55" t="s">
        <v>69</v>
      </c>
      <c r="C84" s="55" t="s">
        <v>37</v>
      </c>
      <c r="D84" s="56"/>
      <c r="E84" s="56">
        <v>0.99208775311981223</v>
      </c>
      <c r="F84" s="56">
        <v>0.99208775311981223</v>
      </c>
      <c r="G84" s="56">
        <v>0.99208775311981223</v>
      </c>
      <c r="H84" s="56">
        <v>0.99208775311981223</v>
      </c>
      <c r="I84" s="56">
        <v>0.99208775311981223</v>
      </c>
      <c r="J84" s="56">
        <v>0.99208775311981223</v>
      </c>
      <c r="K84" s="56">
        <v>0.99208775311981223</v>
      </c>
      <c r="L84" s="56">
        <v>0.99208775311981223</v>
      </c>
      <c r="M84" s="56">
        <v>0.99208775311981223</v>
      </c>
      <c r="N84" s="56">
        <v>0.99208775311981223</v>
      </c>
      <c r="O84" s="56">
        <v>0.99208775311981223</v>
      </c>
      <c r="P84" s="56">
        <v>0.99208775311981223</v>
      </c>
      <c r="Q84" s="56">
        <v>0.99208775311981223</v>
      </c>
      <c r="R84" s="56">
        <v>0.99208775311981223</v>
      </c>
      <c r="S84" s="56">
        <v>0.99208775311981223</v>
      </c>
      <c r="T84" s="56">
        <v>0.99208775311981223</v>
      </c>
      <c r="U84" s="56">
        <v>0.99208775311981223</v>
      </c>
      <c r="V84" s="56">
        <v>0.99208775311981223</v>
      </c>
      <c r="W84" s="56">
        <v>0.99208775311981223</v>
      </c>
      <c r="X84" s="56">
        <v>0.99208775311981223</v>
      </c>
      <c r="Y84" s="56">
        <v>0.99208775311981223</v>
      </c>
      <c r="Z84" s="56">
        <v>0.99208775311981223</v>
      </c>
      <c r="AA84" s="56">
        <v>0.99208775311981223</v>
      </c>
      <c r="AB84" s="56">
        <v>0.99208775311981223</v>
      </c>
      <c r="AC84" s="56">
        <v>0.99208775311981223</v>
      </c>
      <c r="AD84" s="56">
        <v>0.99208775311981223</v>
      </c>
      <c r="AE84" s="56">
        <v>-7.9122468801878093E-3</v>
      </c>
      <c r="AF84" s="56">
        <v>0.99208775311981223</v>
      </c>
      <c r="AG84" s="56">
        <v>0.99208775311981223</v>
      </c>
      <c r="AH84" s="56">
        <v>0.99208775311981223</v>
      </c>
    </row>
    <row r="85" spans="1:34" s="57" customFormat="1" ht="15" customHeight="1" x14ac:dyDescent="0.2">
      <c r="A85" s="58"/>
      <c r="B85" s="55" t="s">
        <v>70</v>
      </c>
      <c r="C85" s="55" t="s">
        <v>42</v>
      </c>
      <c r="D85" s="56"/>
      <c r="E85" s="56">
        <v>-1</v>
      </c>
      <c r="F85" s="56">
        <v>-1</v>
      </c>
      <c r="G85" s="56">
        <v>-1</v>
      </c>
      <c r="H85" s="56">
        <v>-1</v>
      </c>
      <c r="I85" s="56">
        <v>-1</v>
      </c>
      <c r="J85" s="56">
        <v>-1</v>
      </c>
      <c r="K85" s="56">
        <v>-1</v>
      </c>
      <c r="L85" s="56">
        <v>-1</v>
      </c>
      <c r="M85" s="56">
        <v>-1</v>
      </c>
      <c r="N85" s="56">
        <v>-1</v>
      </c>
      <c r="O85" s="56">
        <v>-1</v>
      </c>
      <c r="P85" s="56">
        <v>-1</v>
      </c>
      <c r="Q85" s="56">
        <v>-1</v>
      </c>
      <c r="R85" s="56">
        <v>-1</v>
      </c>
      <c r="S85" s="56">
        <v>-1</v>
      </c>
      <c r="T85" s="56">
        <v>-1</v>
      </c>
      <c r="U85" s="56">
        <v>-1</v>
      </c>
      <c r="V85" s="56">
        <v>-1</v>
      </c>
      <c r="W85" s="56">
        <v>-1</v>
      </c>
      <c r="X85" s="56">
        <v>-1</v>
      </c>
      <c r="Y85" s="56">
        <v>-1</v>
      </c>
      <c r="Z85" s="56">
        <v>-1</v>
      </c>
      <c r="AA85" s="56">
        <v>-1</v>
      </c>
      <c r="AB85" s="56">
        <v>-1</v>
      </c>
      <c r="AC85" s="56">
        <v>-1</v>
      </c>
      <c r="AD85" s="56">
        <v>-1</v>
      </c>
      <c r="AE85" s="56">
        <v>1</v>
      </c>
      <c r="AF85" s="56">
        <v>-1</v>
      </c>
      <c r="AG85" s="56">
        <v>-1</v>
      </c>
      <c r="AH85" s="56">
        <v>-1</v>
      </c>
    </row>
    <row r="86" spans="1:34" s="57" customFormat="1" ht="15" customHeight="1" x14ac:dyDescent="0.2">
      <c r="A86" s="58"/>
      <c r="B86" s="54" t="s">
        <v>71</v>
      </c>
      <c r="C86" s="58"/>
      <c r="D86" s="56">
        <f>SUM($E$86:$AH$86)</f>
        <v>-28.778457087354731</v>
      </c>
      <c r="E86" s="56">
        <v>-0.99208775311981223</v>
      </c>
      <c r="F86" s="56">
        <v>-0.99208775311981223</v>
      </c>
      <c r="G86" s="56">
        <v>-0.99208775311981223</v>
      </c>
      <c r="H86" s="56">
        <v>-0.99208775311981223</v>
      </c>
      <c r="I86" s="56">
        <v>-0.99208775311981223</v>
      </c>
      <c r="J86" s="56">
        <v>-0.99208775311981223</v>
      </c>
      <c r="K86" s="56">
        <v>-0.99208775311981223</v>
      </c>
      <c r="L86" s="56">
        <v>-0.99208775311981223</v>
      </c>
      <c r="M86" s="56">
        <v>-0.99208775311981223</v>
      </c>
      <c r="N86" s="56">
        <v>-0.99208775311981223</v>
      </c>
      <c r="O86" s="56">
        <v>-0.99208775311981223</v>
      </c>
      <c r="P86" s="56">
        <v>-0.99208775311981223</v>
      </c>
      <c r="Q86" s="56">
        <v>-0.99208775311981223</v>
      </c>
      <c r="R86" s="56">
        <v>-0.99208775311981223</v>
      </c>
      <c r="S86" s="56">
        <v>-0.99208775311981223</v>
      </c>
      <c r="T86" s="56">
        <v>-0.99208775311981223</v>
      </c>
      <c r="U86" s="56">
        <v>-0.99208775311981223</v>
      </c>
      <c r="V86" s="56">
        <v>-0.99208775311981223</v>
      </c>
      <c r="W86" s="56">
        <v>-0.99208775311981223</v>
      </c>
      <c r="X86" s="56">
        <v>-0.99208775311981223</v>
      </c>
      <c r="Y86" s="56">
        <v>-0.99208775311981223</v>
      </c>
      <c r="Z86" s="56">
        <v>-0.99208775311981223</v>
      </c>
      <c r="AA86" s="56">
        <v>-0.99208775311981223</v>
      </c>
      <c r="AB86" s="56">
        <v>-0.99208775311981223</v>
      </c>
      <c r="AC86" s="56">
        <v>-0.99208775311981223</v>
      </c>
      <c r="AD86" s="56">
        <v>-0.99208775311981223</v>
      </c>
      <c r="AE86" s="56">
        <v>-7.9122468801878093E-3</v>
      </c>
      <c r="AF86" s="56">
        <v>-0.99208775311981223</v>
      </c>
      <c r="AG86" s="56">
        <v>-0.99208775311981223</v>
      </c>
      <c r="AH86" s="56">
        <v>-0.99208775311981223</v>
      </c>
    </row>
    <row r="87" spans="1:34" s="57" customFormat="1" ht="15" customHeight="1" x14ac:dyDescent="0.2">
      <c r="A87" s="58"/>
      <c r="B87" s="58"/>
      <c r="C87" s="58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56"/>
      <c r="AA87" s="56"/>
      <c r="AB87" s="56"/>
      <c r="AC87" s="56"/>
      <c r="AD87" s="56"/>
      <c r="AE87" s="56"/>
      <c r="AF87" s="56"/>
      <c r="AG87" s="56"/>
      <c r="AH87" s="56"/>
    </row>
    <row r="88" spans="1:34" s="57" customFormat="1" ht="15" customHeight="1" x14ac:dyDescent="0.2">
      <c r="A88" s="58"/>
      <c r="B88" s="55" t="s">
        <v>36</v>
      </c>
      <c r="C88" s="55" t="s">
        <v>37</v>
      </c>
      <c r="D88" s="56"/>
      <c r="E88" s="56">
        <v>381842.0833</v>
      </c>
      <c r="F88" s="56">
        <v>25331.5</v>
      </c>
      <c r="G88" s="56">
        <v>183520.8333</v>
      </c>
      <c r="H88" s="56">
        <v>25415.833299999998</v>
      </c>
      <c r="I88" s="56">
        <v>9582.5</v>
      </c>
      <c r="J88" s="56">
        <v>0</v>
      </c>
      <c r="K88" s="56">
        <v>1016225.0833000001</v>
      </c>
      <c r="L88" s="56">
        <v>3647.5832999999998</v>
      </c>
      <c r="M88" s="56">
        <v>3506934.75</v>
      </c>
      <c r="N88" s="56">
        <v>800537.4166</v>
      </c>
      <c r="O88" s="56">
        <v>112019.5833</v>
      </c>
      <c r="P88" s="56">
        <v>30542.25</v>
      </c>
      <c r="Q88" s="56">
        <v>175440.25</v>
      </c>
      <c r="R88" s="56">
        <v>702430.9166</v>
      </c>
      <c r="S88" s="56">
        <v>141839</v>
      </c>
      <c r="T88" s="56">
        <v>14755.8333</v>
      </c>
      <c r="U88" s="56">
        <v>5676.0833000000002</v>
      </c>
      <c r="V88" s="56">
        <v>2267.3332999999998</v>
      </c>
      <c r="W88" s="56">
        <v>9380715.9166000001</v>
      </c>
      <c r="X88" s="56">
        <v>70063.583299999998</v>
      </c>
      <c r="Y88" s="56">
        <v>82130.416599999997</v>
      </c>
      <c r="Z88" s="56">
        <v>8773.0833000000002</v>
      </c>
      <c r="AA88" s="56">
        <v>29509</v>
      </c>
      <c r="AB88" s="56">
        <v>3485.1666</v>
      </c>
      <c r="AC88" s="56">
        <v>1167.4166</v>
      </c>
      <c r="AD88" s="56">
        <v>10566.3333</v>
      </c>
      <c r="AE88" s="56">
        <v>143006.44</v>
      </c>
      <c r="AF88" s="56">
        <v>1314</v>
      </c>
      <c r="AG88" s="56">
        <v>0</v>
      </c>
      <c r="AH88" s="56">
        <v>209167.9166</v>
      </c>
    </row>
    <row r="89" spans="1:34" s="57" customFormat="1" ht="15" customHeight="1" x14ac:dyDescent="0.2">
      <c r="A89" s="58"/>
      <c r="B89" s="55" t="s">
        <v>38</v>
      </c>
      <c r="C89" s="55" t="s">
        <v>37</v>
      </c>
      <c r="D89" s="56"/>
      <c r="E89" s="56">
        <v>0</v>
      </c>
      <c r="F89" s="56">
        <v>0</v>
      </c>
      <c r="G89" s="56">
        <v>0</v>
      </c>
      <c r="H89" s="56">
        <v>0</v>
      </c>
      <c r="I89" s="56">
        <v>0</v>
      </c>
      <c r="J89" s="56">
        <v>0</v>
      </c>
      <c r="K89" s="56">
        <v>0</v>
      </c>
      <c r="L89" s="56">
        <v>0</v>
      </c>
      <c r="M89" s="56">
        <v>0</v>
      </c>
      <c r="N89" s="56">
        <v>0</v>
      </c>
      <c r="O89" s="56">
        <v>0</v>
      </c>
      <c r="P89" s="56">
        <v>0</v>
      </c>
      <c r="Q89" s="56">
        <v>0</v>
      </c>
      <c r="R89" s="56">
        <v>0</v>
      </c>
      <c r="S89" s="56">
        <v>0</v>
      </c>
      <c r="T89" s="56">
        <v>0</v>
      </c>
      <c r="U89" s="56">
        <v>0</v>
      </c>
      <c r="V89" s="56">
        <v>0</v>
      </c>
      <c r="W89" s="56">
        <v>0</v>
      </c>
      <c r="X89" s="56">
        <v>0</v>
      </c>
      <c r="Y89" s="56">
        <v>0</v>
      </c>
      <c r="Z89" s="56">
        <v>0</v>
      </c>
      <c r="AA89" s="56">
        <v>0</v>
      </c>
      <c r="AB89" s="56">
        <v>0</v>
      </c>
      <c r="AC89" s="56">
        <v>0</v>
      </c>
      <c r="AD89" s="56">
        <v>0</v>
      </c>
      <c r="AE89" s="56">
        <v>0</v>
      </c>
      <c r="AF89" s="56">
        <v>0</v>
      </c>
      <c r="AG89" s="56">
        <v>0</v>
      </c>
      <c r="AH89" s="56">
        <v>0</v>
      </c>
    </row>
    <row r="90" spans="1:34" s="57" customFormat="1" ht="15" customHeight="1" x14ac:dyDescent="0.2">
      <c r="A90" s="58"/>
      <c r="B90" s="55" t="s">
        <v>41</v>
      </c>
      <c r="C90" s="55" t="s">
        <v>42</v>
      </c>
      <c r="D90" s="56"/>
      <c r="E90" s="56">
        <v>0</v>
      </c>
      <c r="F90" s="56">
        <v>0</v>
      </c>
      <c r="G90" s="56">
        <v>1</v>
      </c>
      <c r="H90" s="56">
        <v>0</v>
      </c>
      <c r="I90" s="56">
        <v>0</v>
      </c>
      <c r="J90" s="56">
        <v>1</v>
      </c>
      <c r="K90" s="56">
        <v>0</v>
      </c>
      <c r="L90" s="56">
        <v>0</v>
      </c>
      <c r="M90" s="56">
        <v>0</v>
      </c>
      <c r="N90" s="56">
        <v>0</v>
      </c>
      <c r="O90" s="56">
        <v>0</v>
      </c>
      <c r="P90" s="56">
        <v>1</v>
      </c>
      <c r="Q90" s="56">
        <v>0</v>
      </c>
      <c r="R90" s="56">
        <v>0</v>
      </c>
      <c r="S90" s="56">
        <v>0</v>
      </c>
      <c r="T90" s="56">
        <v>0</v>
      </c>
      <c r="U90" s="56">
        <v>0</v>
      </c>
      <c r="V90" s="56">
        <v>0</v>
      </c>
      <c r="W90" s="56">
        <v>0</v>
      </c>
      <c r="X90" s="56">
        <v>0</v>
      </c>
      <c r="Y90" s="56">
        <v>0</v>
      </c>
      <c r="Z90" s="56">
        <v>0</v>
      </c>
      <c r="AA90" s="56">
        <v>0</v>
      </c>
      <c r="AB90" s="56">
        <v>0</v>
      </c>
      <c r="AC90" s="56">
        <v>0</v>
      </c>
      <c r="AD90" s="56">
        <v>1</v>
      </c>
      <c r="AE90" s="56">
        <v>1</v>
      </c>
      <c r="AF90" s="56">
        <v>1</v>
      </c>
      <c r="AG90" s="56">
        <v>1</v>
      </c>
      <c r="AH90" s="56">
        <v>1</v>
      </c>
    </row>
    <row r="91" spans="1:34" s="57" customFormat="1" ht="15" customHeight="1" x14ac:dyDescent="0.2">
      <c r="A91" s="58"/>
      <c r="B91" s="55" t="s">
        <v>43</v>
      </c>
      <c r="C91" s="55" t="s">
        <v>42</v>
      </c>
      <c r="D91" s="56"/>
      <c r="E91" s="56">
        <v>1.0305420320000001</v>
      </c>
      <c r="F91" s="56">
        <v>1.0305420320000001</v>
      </c>
      <c r="G91" s="56">
        <v>1.0305420320000001</v>
      </c>
      <c r="H91" s="56">
        <v>1.0305420320000001</v>
      </c>
      <c r="I91" s="56">
        <v>1.0305420320000001</v>
      </c>
      <c r="J91" s="56">
        <v>1.0305420320000001</v>
      </c>
      <c r="K91" s="56">
        <v>1.0305420320000001</v>
      </c>
      <c r="L91" s="56">
        <v>1.0305420320000001</v>
      </c>
      <c r="M91" s="56">
        <v>1.0305420320000001</v>
      </c>
      <c r="N91" s="56">
        <v>1.0305420320000001</v>
      </c>
      <c r="O91" s="56">
        <v>1.0305420320000001</v>
      </c>
      <c r="P91" s="56">
        <v>1.0305420320000001</v>
      </c>
      <c r="Q91" s="56">
        <v>1.0305420320000001</v>
      </c>
      <c r="R91" s="56">
        <v>1.0305420320000001</v>
      </c>
      <c r="S91" s="56">
        <v>1.0305420320000001</v>
      </c>
      <c r="T91" s="56">
        <v>1.0305420320000001</v>
      </c>
      <c r="U91" s="56">
        <v>1.0305420320000001</v>
      </c>
      <c r="V91" s="56">
        <v>1.0305420320000001</v>
      </c>
      <c r="W91" s="56">
        <v>1.0305420320000001</v>
      </c>
      <c r="X91" s="56">
        <v>1.0305420320000001</v>
      </c>
      <c r="Y91" s="56">
        <v>1.0305420320000001</v>
      </c>
      <c r="Z91" s="56">
        <v>1.0305420320000001</v>
      </c>
      <c r="AA91" s="56">
        <v>1.0305420320000001</v>
      </c>
      <c r="AB91" s="56">
        <v>1.0305420320000001</v>
      </c>
      <c r="AC91" s="56">
        <v>1.0305420320000001</v>
      </c>
      <c r="AD91" s="56">
        <v>1.0305420320000001</v>
      </c>
      <c r="AE91" s="56">
        <v>1.0305420320000001</v>
      </c>
      <c r="AF91" s="56">
        <v>1.0305420320000001</v>
      </c>
      <c r="AG91" s="56">
        <v>1.0305420320000001</v>
      </c>
      <c r="AH91" s="56">
        <v>1.0305420320000001</v>
      </c>
    </row>
    <row r="92" spans="1:34" s="57" customFormat="1" ht="15" customHeight="1" x14ac:dyDescent="0.2">
      <c r="A92" s="58"/>
      <c r="B92" s="54" t="s">
        <v>72</v>
      </c>
      <c r="C92" s="58"/>
      <c r="D92" s="56">
        <f>SUM($E$92:$AH$92)</f>
        <v>595774.66472884326</v>
      </c>
      <c r="E92" s="56">
        <v>0</v>
      </c>
      <c r="F92" s="56">
        <v>0</v>
      </c>
      <c r="G92" s="56">
        <v>189125.93246331529</v>
      </c>
      <c r="H92" s="56">
        <v>0</v>
      </c>
      <c r="I92" s="56">
        <v>0</v>
      </c>
      <c r="J92" s="56">
        <v>0</v>
      </c>
      <c r="K92" s="56">
        <v>0</v>
      </c>
      <c r="L92" s="56">
        <v>0</v>
      </c>
      <c r="M92" s="56">
        <v>0</v>
      </c>
      <c r="N92" s="56">
        <v>0</v>
      </c>
      <c r="O92" s="56">
        <v>0</v>
      </c>
      <c r="P92" s="56">
        <v>31475.072376852</v>
      </c>
      <c r="Q92" s="56">
        <v>0</v>
      </c>
      <c r="R92" s="56">
        <v>0</v>
      </c>
      <c r="S92" s="56">
        <v>0</v>
      </c>
      <c r="T92" s="56">
        <v>0</v>
      </c>
      <c r="U92" s="56">
        <v>0</v>
      </c>
      <c r="V92" s="56">
        <v>0</v>
      </c>
      <c r="W92" s="56">
        <v>0</v>
      </c>
      <c r="X92" s="56">
        <v>0</v>
      </c>
      <c r="Y92" s="56">
        <v>0</v>
      </c>
      <c r="Z92" s="56">
        <v>0</v>
      </c>
      <c r="AA92" s="56">
        <v>0</v>
      </c>
      <c r="AB92" s="56">
        <v>0</v>
      </c>
      <c r="AC92" s="56">
        <v>0</v>
      </c>
      <c r="AD92" s="56">
        <v>10889.050589771266</v>
      </c>
      <c r="AE92" s="56">
        <v>147374.14726668608</v>
      </c>
      <c r="AF92" s="56">
        <v>1354.1322300480001</v>
      </c>
      <c r="AG92" s="56">
        <v>0</v>
      </c>
      <c r="AH92" s="56">
        <v>215556.32980217054</v>
      </c>
    </row>
    <row r="93" spans="1:34" s="57" customFormat="1" ht="15" customHeight="1" x14ac:dyDescent="0.2">
      <c r="A93" s="58"/>
      <c r="B93" s="58"/>
      <c r="C93" s="58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  <c r="AA93" s="56"/>
      <c r="AB93" s="56"/>
      <c r="AC93" s="56"/>
      <c r="AD93" s="56"/>
      <c r="AE93" s="56"/>
      <c r="AF93" s="56"/>
      <c r="AG93" s="56"/>
      <c r="AH93" s="56"/>
    </row>
    <row r="94" spans="1:34" s="57" customFormat="1" ht="15" customHeight="1" x14ac:dyDescent="0.2">
      <c r="A94" s="58"/>
      <c r="B94" s="55" t="s">
        <v>36</v>
      </c>
      <c r="C94" s="55" t="s">
        <v>37</v>
      </c>
      <c r="D94" s="56"/>
      <c r="E94" s="56">
        <v>381842.0833</v>
      </c>
      <c r="F94" s="56">
        <v>25331.5</v>
      </c>
      <c r="G94" s="56">
        <v>183520.8333</v>
      </c>
      <c r="H94" s="56">
        <v>25415.833299999998</v>
      </c>
      <c r="I94" s="56">
        <v>9582.5</v>
      </c>
      <c r="J94" s="56">
        <v>0</v>
      </c>
      <c r="K94" s="56">
        <v>1016225.0833000001</v>
      </c>
      <c r="L94" s="56">
        <v>3647.5832999999998</v>
      </c>
      <c r="M94" s="56">
        <v>3506934.75</v>
      </c>
      <c r="N94" s="56">
        <v>800537.4166</v>
      </c>
      <c r="O94" s="56">
        <v>112019.5833</v>
      </c>
      <c r="P94" s="56">
        <v>30542.25</v>
      </c>
      <c r="Q94" s="56">
        <v>175440.25</v>
      </c>
      <c r="R94" s="56">
        <v>702430.9166</v>
      </c>
      <c r="S94" s="56">
        <v>141839</v>
      </c>
      <c r="T94" s="56">
        <v>14755.8333</v>
      </c>
      <c r="U94" s="56">
        <v>5676.0833000000002</v>
      </c>
      <c r="V94" s="56">
        <v>2267.3332999999998</v>
      </c>
      <c r="W94" s="56">
        <v>9380715.9166000001</v>
      </c>
      <c r="X94" s="56">
        <v>70063.583299999998</v>
      </c>
      <c r="Y94" s="56">
        <v>82130.416599999997</v>
      </c>
      <c r="Z94" s="56">
        <v>8773.0833000000002</v>
      </c>
      <c r="AA94" s="56">
        <v>29509</v>
      </c>
      <c r="AB94" s="56">
        <v>3485.1666</v>
      </c>
      <c r="AC94" s="56">
        <v>1167.4166</v>
      </c>
      <c r="AD94" s="56">
        <v>10566.3333</v>
      </c>
      <c r="AE94" s="56">
        <v>143006.44</v>
      </c>
      <c r="AF94" s="56">
        <v>1314</v>
      </c>
      <c r="AG94" s="56">
        <v>0</v>
      </c>
      <c r="AH94" s="56">
        <v>209167.9166</v>
      </c>
    </row>
    <row r="95" spans="1:34" s="57" customFormat="1" ht="15" customHeight="1" x14ac:dyDescent="0.2">
      <c r="A95" s="58"/>
      <c r="B95" s="55" t="s">
        <v>38</v>
      </c>
      <c r="C95" s="55" t="s">
        <v>37</v>
      </c>
      <c r="D95" s="56"/>
      <c r="E95" s="56">
        <v>0</v>
      </c>
      <c r="F95" s="56">
        <v>0</v>
      </c>
      <c r="G95" s="56">
        <v>0</v>
      </c>
      <c r="H95" s="56">
        <v>0</v>
      </c>
      <c r="I95" s="56">
        <v>0</v>
      </c>
      <c r="J95" s="56">
        <v>0</v>
      </c>
      <c r="K95" s="56">
        <v>0</v>
      </c>
      <c r="L95" s="56">
        <v>0</v>
      </c>
      <c r="M95" s="56">
        <v>0</v>
      </c>
      <c r="N95" s="56">
        <v>0</v>
      </c>
      <c r="O95" s="56">
        <v>0</v>
      </c>
      <c r="P95" s="56">
        <v>0</v>
      </c>
      <c r="Q95" s="56">
        <v>0</v>
      </c>
      <c r="R95" s="56">
        <v>0</v>
      </c>
      <c r="S95" s="56">
        <v>0</v>
      </c>
      <c r="T95" s="56">
        <v>0</v>
      </c>
      <c r="U95" s="56">
        <v>0</v>
      </c>
      <c r="V95" s="56">
        <v>0</v>
      </c>
      <c r="W95" s="56">
        <v>0</v>
      </c>
      <c r="X95" s="56">
        <v>0</v>
      </c>
      <c r="Y95" s="56">
        <v>0</v>
      </c>
      <c r="Z95" s="56">
        <v>0</v>
      </c>
      <c r="AA95" s="56">
        <v>0</v>
      </c>
      <c r="AB95" s="56">
        <v>0</v>
      </c>
      <c r="AC95" s="56">
        <v>0</v>
      </c>
      <c r="AD95" s="56">
        <v>0</v>
      </c>
      <c r="AE95" s="56">
        <v>0</v>
      </c>
      <c r="AF95" s="56">
        <v>0</v>
      </c>
      <c r="AG95" s="56">
        <v>0</v>
      </c>
      <c r="AH95" s="56">
        <v>0</v>
      </c>
    </row>
    <row r="96" spans="1:34" s="57" customFormat="1" ht="15" customHeight="1" x14ac:dyDescent="0.2">
      <c r="A96" s="58"/>
      <c r="B96" s="55" t="s">
        <v>45</v>
      </c>
      <c r="C96" s="55" t="s">
        <v>42</v>
      </c>
      <c r="D96" s="56"/>
      <c r="E96" s="56">
        <v>0.35726598783999997</v>
      </c>
      <c r="F96" s="56">
        <v>4.4174807999999999E-3</v>
      </c>
      <c r="G96" s="56">
        <v>0</v>
      </c>
      <c r="H96" s="56">
        <v>0.15010762075</v>
      </c>
      <c r="I96" s="56">
        <v>0.47466862262000004</v>
      </c>
      <c r="J96" s="56">
        <v>0</v>
      </c>
      <c r="K96" s="56">
        <v>0</v>
      </c>
      <c r="L96" s="56">
        <v>0</v>
      </c>
      <c r="M96" s="56">
        <v>2.4434712500000003E-3</v>
      </c>
      <c r="N96" s="56">
        <v>3.878081546E-2</v>
      </c>
      <c r="O96" s="56">
        <v>0.26759176643999999</v>
      </c>
      <c r="P96" s="56">
        <v>0</v>
      </c>
      <c r="Q96" s="56">
        <v>1.0392828200000001E-2</v>
      </c>
      <c r="R96" s="56">
        <v>3.4253993199999999E-2</v>
      </c>
      <c r="S96" s="56">
        <v>0.32651814295000003</v>
      </c>
      <c r="T96" s="56">
        <v>1</v>
      </c>
      <c r="U96" s="56">
        <v>0</v>
      </c>
      <c r="V96" s="56">
        <v>1</v>
      </c>
      <c r="W96" s="56">
        <v>0</v>
      </c>
      <c r="X96" s="56">
        <v>2.2401397899999998E-3</v>
      </c>
      <c r="Y96" s="56">
        <v>0.10973193984</v>
      </c>
      <c r="Z96" s="56">
        <v>0.40518035021999999</v>
      </c>
      <c r="AA96" s="56">
        <v>0</v>
      </c>
      <c r="AB96" s="56">
        <v>0</v>
      </c>
      <c r="AC96" s="56">
        <v>1</v>
      </c>
      <c r="AD96" s="56">
        <v>0</v>
      </c>
      <c r="AE96" s="56">
        <v>0</v>
      </c>
      <c r="AF96" s="56">
        <v>0</v>
      </c>
      <c r="AG96" s="56">
        <v>0</v>
      </c>
      <c r="AH96" s="56">
        <v>0</v>
      </c>
    </row>
    <row r="97" spans="1:34" s="57" customFormat="1" ht="15" customHeight="1" x14ac:dyDescent="0.2">
      <c r="A97" s="58"/>
      <c r="B97" s="55" t="s">
        <v>46</v>
      </c>
      <c r="C97" s="55" t="s">
        <v>42</v>
      </c>
      <c r="D97" s="56"/>
      <c r="E97" s="56">
        <v>1.056127373</v>
      </c>
      <c r="F97" s="56">
        <v>1.056127373</v>
      </c>
      <c r="G97" s="56">
        <v>1.056127373</v>
      </c>
      <c r="H97" s="56">
        <v>1.056127373</v>
      </c>
      <c r="I97" s="56">
        <v>1.056127373</v>
      </c>
      <c r="J97" s="56">
        <v>1.056127373</v>
      </c>
      <c r="K97" s="56">
        <v>1.056127373</v>
      </c>
      <c r="L97" s="56">
        <v>1.056127373</v>
      </c>
      <c r="M97" s="56">
        <v>1.056127373</v>
      </c>
      <c r="N97" s="56">
        <v>1.056127373</v>
      </c>
      <c r="O97" s="56">
        <v>1.056127373</v>
      </c>
      <c r="P97" s="56">
        <v>1.056127373</v>
      </c>
      <c r="Q97" s="56">
        <v>1.056127373</v>
      </c>
      <c r="R97" s="56">
        <v>1.056127373</v>
      </c>
      <c r="S97" s="56">
        <v>1.056127373</v>
      </c>
      <c r="T97" s="56">
        <v>1.056127373</v>
      </c>
      <c r="U97" s="56">
        <v>1.056127373</v>
      </c>
      <c r="V97" s="56">
        <v>1.056127373</v>
      </c>
      <c r="W97" s="56">
        <v>1.056127373</v>
      </c>
      <c r="X97" s="56">
        <v>1.056127373</v>
      </c>
      <c r="Y97" s="56">
        <v>1.056127373</v>
      </c>
      <c r="Z97" s="56">
        <v>1.056127373</v>
      </c>
      <c r="AA97" s="56">
        <v>1.056127373</v>
      </c>
      <c r="AB97" s="56">
        <v>1.056127373</v>
      </c>
      <c r="AC97" s="56">
        <v>1.056127373</v>
      </c>
      <c r="AD97" s="56">
        <v>1.056127373</v>
      </c>
      <c r="AE97" s="56">
        <v>1.056127373</v>
      </c>
      <c r="AF97" s="56">
        <v>1.056127373</v>
      </c>
      <c r="AG97" s="56">
        <v>1.056127373</v>
      </c>
      <c r="AH97" s="56">
        <v>1.056127373</v>
      </c>
    </row>
    <row r="98" spans="1:34" s="57" customFormat="1" ht="15" customHeight="1" x14ac:dyDescent="0.2">
      <c r="A98" s="58"/>
      <c r="B98" s="54" t="s">
        <v>73</v>
      </c>
      <c r="C98" s="58"/>
      <c r="D98" s="56">
        <f>SUM($E$98:$AH$98)</f>
        <v>335422.62810611469</v>
      </c>
      <c r="E98" s="56">
        <v>144076.03979941717</v>
      </c>
      <c r="F98" s="56">
        <v>118.18214733768937</v>
      </c>
      <c r="G98" s="56">
        <v>0</v>
      </c>
      <c r="H98" s="56">
        <v>4029.2423829798681</v>
      </c>
      <c r="I98" s="56">
        <v>4803.8081101551834</v>
      </c>
      <c r="J98" s="56">
        <v>0</v>
      </c>
      <c r="K98" s="56">
        <v>0</v>
      </c>
      <c r="L98" s="56">
        <v>0</v>
      </c>
      <c r="M98" s="56">
        <v>9050.054985777273</v>
      </c>
      <c r="N98" s="56">
        <v>32787.995833705754</v>
      </c>
      <c r="O98" s="56">
        <v>31657.965260378438</v>
      </c>
      <c r="P98" s="56">
        <v>0</v>
      </c>
      <c r="Q98" s="56">
        <v>1925.6585605479509</v>
      </c>
      <c r="R98" s="56">
        <v>25411.548145649173</v>
      </c>
      <c r="S98" s="56">
        <v>48912.434289671677</v>
      </c>
      <c r="T98" s="56">
        <v>15584.039459554922</v>
      </c>
      <c r="U98" s="56">
        <v>0</v>
      </c>
      <c r="V98" s="56">
        <v>2394.5927618444207</v>
      </c>
      <c r="W98" s="56">
        <v>0</v>
      </c>
      <c r="X98" s="56">
        <v>165.76153661922427</v>
      </c>
      <c r="Y98" s="56">
        <v>9518.1683371555209</v>
      </c>
      <c r="Z98" s="56">
        <v>3754.1958683658427</v>
      </c>
      <c r="AA98" s="56">
        <v>0</v>
      </c>
      <c r="AB98" s="56">
        <v>0</v>
      </c>
      <c r="AC98" s="56">
        <v>1232.9406269545918</v>
      </c>
      <c r="AD98" s="56">
        <v>0</v>
      </c>
      <c r="AE98" s="56">
        <v>0</v>
      </c>
      <c r="AF98" s="56">
        <v>0</v>
      </c>
      <c r="AG98" s="56">
        <v>0</v>
      </c>
      <c r="AH98" s="56">
        <v>0</v>
      </c>
    </row>
    <row r="99" spans="1:34" s="57" customFormat="1" ht="15" customHeight="1" x14ac:dyDescent="0.2">
      <c r="A99" s="58"/>
      <c r="B99" s="58"/>
      <c r="C99" s="58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56"/>
      <c r="S99" s="56"/>
      <c r="T99" s="56"/>
      <c r="U99" s="56"/>
      <c r="V99" s="56"/>
      <c r="W99" s="56"/>
      <c r="X99" s="56"/>
      <c r="Y99" s="56"/>
      <c r="Z99" s="56"/>
      <c r="AA99" s="56"/>
      <c r="AB99" s="56"/>
      <c r="AC99" s="56"/>
      <c r="AD99" s="56"/>
      <c r="AE99" s="56"/>
      <c r="AF99" s="56"/>
      <c r="AG99" s="56"/>
      <c r="AH99" s="56"/>
    </row>
    <row r="100" spans="1:34" s="57" customFormat="1" ht="15" customHeight="1" x14ac:dyDescent="0.2">
      <c r="A100" s="58"/>
      <c r="B100" s="55" t="s">
        <v>36</v>
      </c>
      <c r="C100" s="55" t="s">
        <v>37</v>
      </c>
      <c r="D100" s="56"/>
      <c r="E100" s="56">
        <v>381842.0833</v>
      </c>
      <c r="F100" s="56">
        <v>25331.5</v>
      </c>
      <c r="G100" s="56">
        <v>183520.8333</v>
      </c>
      <c r="H100" s="56">
        <v>25415.833299999998</v>
      </c>
      <c r="I100" s="56">
        <v>9582.5</v>
      </c>
      <c r="J100" s="56">
        <v>0</v>
      </c>
      <c r="K100" s="56">
        <v>1016225.0833000001</v>
      </c>
      <c r="L100" s="56">
        <v>3647.5832999999998</v>
      </c>
      <c r="M100" s="56">
        <v>3506934.75</v>
      </c>
      <c r="N100" s="56">
        <v>800537.4166</v>
      </c>
      <c r="O100" s="56">
        <v>112019.5833</v>
      </c>
      <c r="P100" s="56">
        <v>30542.25</v>
      </c>
      <c r="Q100" s="56">
        <v>175440.25</v>
      </c>
      <c r="R100" s="56">
        <v>702430.9166</v>
      </c>
      <c r="S100" s="56">
        <v>141839</v>
      </c>
      <c r="T100" s="56">
        <v>14755.8333</v>
      </c>
      <c r="U100" s="56">
        <v>5676.0833000000002</v>
      </c>
      <c r="V100" s="56">
        <v>2267.3332999999998</v>
      </c>
      <c r="W100" s="56">
        <v>9380715.9166000001</v>
      </c>
      <c r="X100" s="56">
        <v>70063.583299999998</v>
      </c>
      <c r="Y100" s="56">
        <v>82130.416599999997</v>
      </c>
      <c r="Z100" s="56">
        <v>8773.0833000000002</v>
      </c>
      <c r="AA100" s="56">
        <v>29509</v>
      </c>
      <c r="AB100" s="56">
        <v>3485.1666</v>
      </c>
      <c r="AC100" s="56">
        <v>1167.4166</v>
      </c>
      <c r="AD100" s="56">
        <v>10566.3333</v>
      </c>
      <c r="AE100" s="56">
        <v>143006.44</v>
      </c>
      <c r="AF100" s="56">
        <v>1314</v>
      </c>
      <c r="AG100" s="56">
        <v>0</v>
      </c>
      <c r="AH100" s="56">
        <v>209167.9166</v>
      </c>
    </row>
    <row r="101" spans="1:34" s="57" customFormat="1" ht="15" customHeight="1" x14ac:dyDescent="0.2">
      <c r="A101" s="58"/>
      <c r="B101" s="55" t="s">
        <v>38</v>
      </c>
      <c r="C101" s="55" t="s">
        <v>37</v>
      </c>
      <c r="D101" s="56"/>
      <c r="E101" s="56">
        <v>0</v>
      </c>
      <c r="F101" s="56">
        <v>0</v>
      </c>
      <c r="G101" s="56">
        <v>0</v>
      </c>
      <c r="H101" s="56">
        <v>0</v>
      </c>
      <c r="I101" s="56">
        <v>0</v>
      </c>
      <c r="J101" s="56">
        <v>0</v>
      </c>
      <c r="K101" s="56">
        <v>0</v>
      </c>
      <c r="L101" s="56">
        <v>0</v>
      </c>
      <c r="M101" s="56">
        <v>0</v>
      </c>
      <c r="N101" s="56">
        <v>0</v>
      </c>
      <c r="O101" s="56">
        <v>0</v>
      </c>
      <c r="P101" s="56">
        <v>0</v>
      </c>
      <c r="Q101" s="56">
        <v>0</v>
      </c>
      <c r="R101" s="56">
        <v>0</v>
      </c>
      <c r="S101" s="56">
        <v>0</v>
      </c>
      <c r="T101" s="56">
        <v>0</v>
      </c>
      <c r="U101" s="56">
        <v>0</v>
      </c>
      <c r="V101" s="56">
        <v>0</v>
      </c>
      <c r="W101" s="56">
        <v>0</v>
      </c>
      <c r="X101" s="56">
        <v>0</v>
      </c>
      <c r="Y101" s="56">
        <v>0</v>
      </c>
      <c r="Z101" s="56">
        <v>0</v>
      </c>
      <c r="AA101" s="56">
        <v>0</v>
      </c>
      <c r="AB101" s="56">
        <v>0</v>
      </c>
      <c r="AC101" s="56">
        <v>0</v>
      </c>
      <c r="AD101" s="56">
        <v>0</v>
      </c>
      <c r="AE101" s="56">
        <v>0</v>
      </c>
      <c r="AF101" s="56">
        <v>0</v>
      </c>
      <c r="AG101" s="56">
        <v>0</v>
      </c>
      <c r="AH101" s="56">
        <v>0</v>
      </c>
    </row>
    <row r="102" spans="1:34" s="57" customFormat="1" ht="15" customHeight="1" x14ac:dyDescent="0.2">
      <c r="A102" s="58"/>
      <c r="B102" s="55" t="s">
        <v>48</v>
      </c>
      <c r="C102" s="55" t="s">
        <v>42</v>
      </c>
      <c r="D102" s="56"/>
      <c r="E102" s="56">
        <v>0.64273401215000003</v>
      </c>
      <c r="F102" s="56">
        <v>0.99558251918999996</v>
      </c>
      <c r="G102" s="56">
        <v>0</v>
      </c>
      <c r="H102" s="56">
        <v>0.84989237924000005</v>
      </c>
      <c r="I102" s="56">
        <v>0.52533137737000002</v>
      </c>
      <c r="J102" s="56">
        <v>0</v>
      </c>
      <c r="K102" s="56">
        <v>1</v>
      </c>
      <c r="L102" s="56">
        <v>1</v>
      </c>
      <c r="M102" s="56">
        <v>0.99755652874</v>
      </c>
      <c r="N102" s="56">
        <v>0.96121918452999999</v>
      </c>
      <c r="O102" s="56">
        <v>0.73240823354999995</v>
      </c>
      <c r="P102" s="56">
        <v>0</v>
      </c>
      <c r="Q102" s="56">
        <v>0.98960717179000002</v>
      </c>
      <c r="R102" s="56">
        <v>0.96574600679</v>
      </c>
      <c r="S102" s="56">
        <v>0.67348185703999996</v>
      </c>
      <c r="T102" s="56">
        <v>0</v>
      </c>
      <c r="U102" s="56">
        <v>1</v>
      </c>
      <c r="V102" s="56">
        <v>0</v>
      </c>
      <c r="W102" s="56">
        <v>1</v>
      </c>
      <c r="X102" s="56">
        <v>0.99775986019999996</v>
      </c>
      <c r="Y102" s="56">
        <v>0.89026806015000004</v>
      </c>
      <c r="Z102" s="56">
        <v>0.59481964977000001</v>
      </c>
      <c r="AA102" s="56">
        <v>1</v>
      </c>
      <c r="AB102" s="56">
        <v>1</v>
      </c>
      <c r="AC102" s="56">
        <v>0</v>
      </c>
      <c r="AD102" s="56">
        <v>0</v>
      </c>
      <c r="AE102" s="56">
        <v>0</v>
      </c>
      <c r="AF102" s="56">
        <v>0</v>
      </c>
      <c r="AG102" s="56">
        <v>0</v>
      </c>
      <c r="AH102" s="56">
        <v>0</v>
      </c>
    </row>
    <row r="103" spans="1:34" s="57" customFormat="1" ht="15" customHeight="1" x14ac:dyDescent="0.2">
      <c r="A103" s="58"/>
      <c r="B103" s="55" t="s">
        <v>49</v>
      </c>
      <c r="C103" s="55" t="s">
        <v>42</v>
      </c>
      <c r="D103" s="56"/>
      <c r="E103" s="56">
        <v>1.0857752949999999</v>
      </c>
      <c r="F103" s="56">
        <v>1.0857752949999999</v>
      </c>
      <c r="G103" s="56">
        <v>1.0857752949999999</v>
      </c>
      <c r="H103" s="56">
        <v>1.0857752949999999</v>
      </c>
      <c r="I103" s="56">
        <v>1.0857752949999999</v>
      </c>
      <c r="J103" s="56">
        <v>1.0857752949999999</v>
      </c>
      <c r="K103" s="56">
        <v>1.0857752949999999</v>
      </c>
      <c r="L103" s="56">
        <v>1.0857752949999999</v>
      </c>
      <c r="M103" s="56">
        <v>1.0857752949999999</v>
      </c>
      <c r="N103" s="56">
        <v>1.0857752949999999</v>
      </c>
      <c r="O103" s="56">
        <v>1.0857752949999999</v>
      </c>
      <c r="P103" s="56">
        <v>1.0857752949999999</v>
      </c>
      <c r="Q103" s="56">
        <v>1.0857752949999999</v>
      </c>
      <c r="R103" s="56">
        <v>1.0857752949999999</v>
      </c>
      <c r="S103" s="56">
        <v>1.0857752949999999</v>
      </c>
      <c r="T103" s="56">
        <v>1.0857752949999999</v>
      </c>
      <c r="U103" s="56">
        <v>1.0857752949999999</v>
      </c>
      <c r="V103" s="56">
        <v>1.0857752949999999</v>
      </c>
      <c r="W103" s="56">
        <v>1.0857752949999999</v>
      </c>
      <c r="X103" s="56">
        <v>1.0857752949999999</v>
      </c>
      <c r="Y103" s="56">
        <v>1.0857752949999999</v>
      </c>
      <c r="Z103" s="56">
        <v>1.0857752949999999</v>
      </c>
      <c r="AA103" s="56">
        <v>1.0857752949999999</v>
      </c>
      <c r="AB103" s="56">
        <v>1.0857752949999999</v>
      </c>
      <c r="AC103" s="56">
        <v>1.0857752949999999</v>
      </c>
      <c r="AD103" s="56">
        <v>1.0857752949999999</v>
      </c>
      <c r="AE103" s="56">
        <v>1.0857752949999999</v>
      </c>
      <c r="AF103" s="56">
        <v>1.0857752949999999</v>
      </c>
      <c r="AG103" s="56">
        <v>1.0857752949999999</v>
      </c>
      <c r="AH103" s="56">
        <v>1.0857752949999999</v>
      </c>
    </row>
    <row r="104" spans="1:34" s="57" customFormat="1" ht="15" customHeight="1" x14ac:dyDescent="0.2">
      <c r="A104" s="58"/>
      <c r="B104" s="54" t="s">
        <v>74</v>
      </c>
      <c r="C104" s="58"/>
      <c r="D104" s="56">
        <f>SUM($E$104:$AH$104)</f>
        <v>17570226.003781293</v>
      </c>
      <c r="E104" s="56">
        <v>266474.11535749334</v>
      </c>
      <c r="F104" s="56">
        <v>27382.817093259557</v>
      </c>
      <c r="G104" s="56">
        <v>0</v>
      </c>
      <c r="H104" s="56">
        <v>23453.531424133493</v>
      </c>
      <c r="I104" s="56">
        <v>5465.7797228253721</v>
      </c>
      <c r="J104" s="56">
        <v>0</v>
      </c>
      <c r="K104" s="56">
        <v>1103392.0896064572</v>
      </c>
      <c r="L104" s="56">
        <v>3960.4558335945731</v>
      </c>
      <c r="M104" s="56">
        <v>3798439.0018655895</v>
      </c>
      <c r="N104" s="56">
        <v>835495.31944571913</v>
      </c>
      <c r="O104" s="56">
        <v>89081.419017092892</v>
      </c>
      <c r="P104" s="56">
        <v>0</v>
      </c>
      <c r="Q104" s="56">
        <v>188508.97297583436</v>
      </c>
      <c r="R104" s="56">
        <v>736557.22699122364</v>
      </c>
      <c r="S104" s="56">
        <v>103719.76336079226</v>
      </c>
      <c r="T104" s="56">
        <v>0</v>
      </c>
      <c r="U104" s="56">
        <v>6162.951019502073</v>
      </c>
      <c r="V104" s="56">
        <v>0</v>
      </c>
      <c r="W104" s="56">
        <v>10185349.59165756</v>
      </c>
      <c r="X104" s="56">
        <v>75902.892981735175</v>
      </c>
      <c r="Y104" s="56">
        <v>79389.812119387352</v>
      </c>
      <c r="Z104" s="56">
        <v>5666.0123357003222</v>
      </c>
      <c r="AA104" s="56">
        <v>32040.143180154999</v>
      </c>
      <c r="AB104" s="56">
        <v>3784.1077932391468</v>
      </c>
      <c r="AC104" s="56">
        <v>0</v>
      </c>
      <c r="AD104" s="56">
        <v>0</v>
      </c>
      <c r="AE104" s="56">
        <v>0</v>
      </c>
      <c r="AF104" s="56">
        <v>0</v>
      </c>
      <c r="AG104" s="56">
        <v>0</v>
      </c>
      <c r="AH104" s="56">
        <v>0</v>
      </c>
    </row>
    <row r="105" spans="1:34" s="57" customFormat="1" ht="15" customHeight="1" x14ac:dyDescent="0.2">
      <c r="A105" s="58"/>
      <c r="B105" s="58"/>
      <c r="C105" s="58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56"/>
      <c r="S105" s="56"/>
      <c r="T105" s="56"/>
      <c r="U105" s="56"/>
      <c r="V105" s="56"/>
      <c r="W105" s="56"/>
      <c r="X105" s="56"/>
      <c r="Y105" s="56"/>
      <c r="Z105" s="56"/>
      <c r="AA105" s="56"/>
      <c r="AB105" s="56"/>
      <c r="AC105" s="56"/>
      <c r="AD105" s="56"/>
      <c r="AE105" s="56"/>
      <c r="AF105" s="56"/>
      <c r="AG105" s="56"/>
      <c r="AH105" s="56"/>
    </row>
    <row r="106" spans="1:34" s="57" customFormat="1" ht="15" customHeight="1" x14ac:dyDescent="0.2">
      <c r="A106" s="58"/>
      <c r="B106" s="55" t="s">
        <v>72</v>
      </c>
      <c r="C106" s="55" t="s">
        <v>37</v>
      </c>
      <c r="D106" s="56"/>
      <c r="E106" s="56">
        <v>0</v>
      </c>
      <c r="F106" s="56">
        <v>0</v>
      </c>
      <c r="G106" s="56">
        <v>189125.93246331529</v>
      </c>
      <c r="H106" s="56">
        <v>0</v>
      </c>
      <c r="I106" s="56">
        <v>0</v>
      </c>
      <c r="J106" s="56">
        <v>0</v>
      </c>
      <c r="K106" s="56">
        <v>0</v>
      </c>
      <c r="L106" s="56">
        <v>0</v>
      </c>
      <c r="M106" s="56">
        <v>0</v>
      </c>
      <c r="N106" s="56">
        <v>0</v>
      </c>
      <c r="O106" s="56">
        <v>0</v>
      </c>
      <c r="P106" s="56">
        <v>31475.072376852</v>
      </c>
      <c r="Q106" s="56">
        <v>0</v>
      </c>
      <c r="R106" s="56">
        <v>0</v>
      </c>
      <c r="S106" s="56">
        <v>0</v>
      </c>
      <c r="T106" s="56">
        <v>0</v>
      </c>
      <c r="U106" s="56">
        <v>0</v>
      </c>
      <c r="V106" s="56">
        <v>0</v>
      </c>
      <c r="W106" s="56">
        <v>0</v>
      </c>
      <c r="X106" s="56">
        <v>0</v>
      </c>
      <c r="Y106" s="56">
        <v>0</v>
      </c>
      <c r="Z106" s="56">
        <v>0</v>
      </c>
      <c r="AA106" s="56">
        <v>0</v>
      </c>
      <c r="AB106" s="56">
        <v>0</v>
      </c>
      <c r="AC106" s="56">
        <v>0</v>
      </c>
      <c r="AD106" s="56">
        <v>10889.050589771266</v>
      </c>
      <c r="AE106" s="56">
        <v>147374.14726668608</v>
      </c>
      <c r="AF106" s="56">
        <v>1354.1322300480001</v>
      </c>
      <c r="AG106" s="56">
        <v>0</v>
      </c>
      <c r="AH106" s="56">
        <v>215556.32980217054</v>
      </c>
    </row>
    <row r="107" spans="1:34" s="57" customFormat="1" ht="15" customHeight="1" x14ac:dyDescent="0.2">
      <c r="A107" s="58"/>
      <c r="B107" s="55" t="s">
        <v>73</v>
      </c>
      <c r="C107" s="55" t="s">
        <v>37</v>
      </c>
      <c r="D107" s="56"/>
      <c r="E107" s="56">
        <v>144076.03979941717</v>
      </c>
      <c r="F107" s="56">
        <v>118.18214733768937</v>
      </c>
      <c r="G107" s="56">
        <v>0</v>
      </c>
      <c r="H107" s="56">
        <v>4029.2423829798681</v>
      </c>
      <c r="I107" s="56">
        <v>4803.8081101551834</v>
      </c>
      <c r="J107" s="56">
        <v>0</v>
      </c>
      <c r="K107" s="56">
        <v>0</v>
      </c>
      <c r="L107" s="56">
        <v>0</v>
      </c>
      <c r="M107" s="56">
        <v>9050.054985777273</v>
      </c>
      <c r="N107" s="56">
        <v>32787.995833705754</v>
      </c>
      <c r="O107" s="56">
        <v>31657.965260378438</v>
      </c>
      <c r="P107" s="56">
        <v>0</v>
      </c>
      <c r="Q107" s="56">
        <v>1925.6585605479509</v>
      </c>
      <c r="R107" s="56">
        <v>25411.548145649173</v>
      </c>
      <c r="S107" s="56">
        <v>48912.434289671677</v>
      </c>
      <c r="T107" s="56">
        <v>15584.039459554922</v>
      </c>
      <c r="U107" s="56">
        <v>0</v>
      </c>
      <c r="V107" s="56">
        <v>2394.5927618444207</v>
      </c>
      <c r="W107" s="56">
        <v>0</v>
      </c>
      <c r="X107" s="56">
        <v>165.76153661922427</v>
      </c>
      <c r="Y107" s="56">
        <v>9518.1683371555209</v>
      </c>
      <c r="Z107" s="56">
        <v>3754.1958683658427</v>
      </c>
      <c r="AA107" s="56">
        <v>0</v>
      </c>
      <c r="AB107" s="56">
        <v>0</v>
      </c>
      <c r="AC107" s="56">
        <v>1232.9406269545918</v>
      </c>
      <c r="AD107" s="56">
        <v>0</v>
      </c>
      <c r="AE107" s="56">
        <v>0</v>
      </c>
      <c r="AF107" s="56">
        <v>0</v>
      </c>
      <c r="AG107" s="56">
        <v>0</v>
      </c>
      <c r="AH107" s="56">
        <v>0</v>
      </c>
    </row>
    <row r="108" spans="1:34" s="57" customFormat="1" ht="15" customHeight="1" x14ac:dyDescent="0.2">
      <c r="A108" s="58"/>
      <c r="B108" s="55" t="s">
        <v>74</v>
      </c>
      <c r="C108" s="55" t="s">
        <v>37</v>
      </c>
      <c r="D108" s="56"/>
      <c r="E108" s="56">
        <v>266474.11535749334</v>
      </c>
      <c r="F108" s="56">
        <v>27382.817093259557</v>
      </c>
      <c r="G108" s="56">
        <v>0</v>
      </c>
      <c r="H108" s="56">
        <v>23453.531424133493</v>
      </c>
      <c r="I108" s="56">
        <v>5465.7797228253721</v>
      </c>
      <c r="J108" s="56">
        <v>0</v>
      </c>
      <c r="K108" s="56">
        <v>1103392.0896064572</v>
      </c>
      <c r="L108" s="56">
        <v>3960.4558335945731</v>
      </c>
      <c r="M108" s="56">
        <v>3798439.0018655895</v>
      </c>
      <c r="N108" s="56">
        <v>835495.31944571913</v>
      </c>
      <c r="O108" s="56">
        <v>89081.419017092892</v>
      </c>
      <c r="P108" s="56">
        <v>0</v>
      </c>
      <c r="Q108" s="56">
        <v>188508.97297583436</v>
      </c>
      <c r="R108" s="56">
        <v>736557.22699122364</v>
      </c>
      <c r="S108" s="56">
        <v>103719.76336079226</v>
      </c>
      <c r="T108" s="56">
        <v>0</v>
      </c>
      <c r="U108" s="56">
        <v>6162.951019502073</v>
      </c>
      <c r="V108" s="56">
        <v>0</v>
      </c>
      <c r="W108" s="56">
        <v>10185349.59165756</v>
      </c>
      <c r="X108" s="56">
        <v>75902.892981735175</v>
      </c>
      <c r="Y108" s="56">
        <v>79389.812119387352</v>
      </c>
      <c r="Z108" s="56">
        <v>5666.0123357003222</v>
      </c>
      <c r="AA108" s="56">
        <v>32040.143180154999</v>
      </c>
      <c r="AB108" s="56">
        <v>3784.1077932391468</v>
      </c>
      <c r="AC108" s="56">
        <v>0</v>
      </c>
      <c r="AD108" s="56">
        <v>0</v>
      </c>
      <c r="AE108" s="56">
        <v>0</v>
      </c>
      <c r="AF108" s="56">
        <v>0</v>
      </c>
      <c r="AG108" s="56">
        <v>0</v>
      </c>
      <c r="AH108" s="56">
        <v>0</v>
      </c>
    </row>
    <row r="109" spans="1:34" s="57" customFormat="1" ht="15" customHeight="1" x14ac:dyDescent="0.2">
      <c r="A109" s="58"/>
      <c r="B109" s="54" t="s">
        <v>75</v>
      </c>
      <c r="C109" s="58"/>
      <c r="D109" s="56">
        <f>SUM($E$109:$AH$109)</f>
        <v>18501423.296616245</v>
      </c>
      <c r="E109" s="56">
        <v>410550.15515691054</v>
      </c>
      <c r="F109" s="56">
        <v>27500.999240597244</v>
      </c>
      <c r="G109" s="56">
        <v>189125.93246331529</v>
      </c>
      <c r="H109" s="56">
        <v>27482.773807113361</v>
      </c>
      <c r="I109" s="56">
        <v>10269.587832980556</v>
      </c>
      <c r="J109" s="56">
        <v>0</v>
      </c>
      <c r="K109" s="56">
        <v>1103392.0896064572</v>
      </c>
      <c r="L109" s="56">
        <v>3960.4558335945731</v>
      </c>
      <c r="M109" s="56">
        <v>3807489.056851367</v>
      </c>
      <c r="N109" s="56">
        <v>868283.31527942489</v>
      </c>
      <c r="O109" s="56">
        <v>120739.38427747133</v>
      </c>
      <c r="P109" s="56">
        <v>31475.072376852</v>
      </c>
      <c r="Q109" s="56">
        <v>190434.63153638231</v>
      </c>
      <c r="R109" s="56">
        <v>761968.77513687278</v>
      </c>
      <c r="S109" s="56">
        <v>152632.19765046393</v>
      </c>
      <c r="T109" s="56">
        <v>15584.039459554922</v>
      </c>
      <c r="U109" s="56">
        <v>6162.951019502073</v>
      </c>
      <c r="V109" s="56">
        <v>2394.5927618444207</v>
      </c>
      <c r="W109" s="56">
        <v>10185349.59165756</v>
      </c>
      <c r="X109" s="56">
        <v>76068.654518354393</v>
      </c>
      <c r="Y109" s="56">
        <v>88907.980456542879</v>
      </c>
      <c r="Z109" s="56">
        <v>9420.2082040661644</v>
      </c>
      <c r="AA109" s="56">
        <v>32040.143180154999</v>
      </c>
      <c r="AB109" s="56">
        <v>3784.1077932391468</v>
      </c>
      <c r="AC109" s="56">
        <v>1232.9406269545918</v>
      </c>
      <c r="AD109" s="56">
        <v>10889.050589771266</v>
      </c>
      <c r="AE109" s="56">
        <v>147374.14726668608</v>
      </c>
      <c r="AF109" s="56">
        <v>1354.1322300480001</v>
      </c>
      <c r="AG109" s="56">
        <v>0</v>
      </c>
      <c r="AH109" s="56">
        <v>215556.32980217054</v>
      </c>
    </row>
    <row r="110" spans="1:34" s="57" customFormat="1" ht="15" customHeight="1" x14ac:dyDescent="0.2">
      <c r="A110" s="58"/>
      <c r="B110" s="58"/>
      <c r="C110" s="58"/>
      <c r="D110" s="56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6"/>
      <c r="R110" s="56"/>
      <c r="S110" s="56"/>
      <c r="T110" s="56"/>
      <c r="U110" s="56"/>
      <c r="V110" s="56"/>
      <c r="W110" s="56"/>
      <c r="X110" s="56"/>
      <c r="Y110" s="56"/>
      <c r="Z110" s="56"/>
      <c r="AA110" s="56"/>
      <c r="AB110" s="56"/>
      <c r="AC110" s="56"/>
      <c r="AD110" s="56"/>
      <c r="AE110" s="56"/>
      <c r="AF110" s="56"/>
      <c r="AG110" s="56"/>
      <c r="AH110" s="56"/>
    </row>
    <row r="111" spans="1:34" s="57" customFormat="1" ht="15" customHeight="1" x14ac:dyDescent="0.2">
      <c r="A111" s="58"/>
      <c r="B111" s="55" t="s">
        <v>75</v>
      </c>
      <c r="C111" s="55" t="s">
        <v>37</v>
      </c>
      <c r="D111" s="56"/>
      <c r="E111" s="56">
        <v>410550.15515691054</v>
      </c>
      <c r="F111" s="56">
        <v>27500.999240597244</v>
      </c>
      <c r="G111" s="56">
        <v>189125.93246331529</v>
      </c>
      <c r="H111" s="56">
        <v>27482.773807113361</v>
      </c>
      <c r="I111" s="56">
        <v>10269.587832980556</v>
      </c>
      <c r="J111" s="56">
        <v>0</v>
      </c>
      <c r="K111" s="56">
        <v>1103392.0896064572</v>
      </c>
      <c r="L111" s="56">
        <v>3960.4558335945731</v>
      </c>
      <c r="M111" s="56">
        <v>3807489.056851367</v>
      </c>
      <c r="N111" s="56">
        <v>868283.31527942489</v>
      </c>
      <c r="O111" s="56">
        <v>120739.38427747133</v>
      </c>
      <c r="P111" s="56">
        <v>31475.072376852</v>
      </c>
      <c r="Q111" s="56">
        <v>190434.63153638231</v>
      </c>
      <c r="R111" s="56">
        <v>761968.77513687278</v>
      </c>
      <c r="S111" s="56">
        <v>152632.19765046393</v>
      </c>
      <c r="T111" s="56">
        <v>15584.039459554922</v>
      </c>
      <c r="U111" s="56">
        <v>6162.951019502073</v>
      </c>
      <c r="V111" s="56">
        <v>2394.5927618444207</v>
      </c>
      <c r="W111" s="56">
        <v>10185349.59165756</v>
      </c>
      <c r="X111" s="56">
        <v>76068.654518354393</v>
      </c>
      <c r="Y111" s="56">
        <v>88907.980456542879</v>
      </c>
      <c r="Z111" s="56">
        <v>9420.2082040661644</v>
      </c>
      <c r="AA111" s="56">
        <v>32040.143180154999</v>
      </c>
      <c r="AB111" s="56">
        <v>3784.1077932391468</v>
      </c>
      <c r="AC111" s="56">
        <v>1232.9406269545918</v>
      </c>
      <c r="AD111" s="56">
        <v>10889.050589771266</v>
      </c>
      <c r="AE111" s="56">
        <v>0</v>
      </c>
      <c r="AF111" s="56">
        <v>1354.1322300480001</v>
      </c>
      <c r="AG111" s="56">
        <v>0</v>
      </c>
      <c r="AH111" s="56">
        <v>215556.32980217054</v>
      </c>
    </row>
    <row r="112" spans="1:34" s="57" customFormat="1" ht="15" customHeight="1" x14ac:dyDescent="0.2">
      <c r="A112" s="58"/>
      <c r="B112" s="55" t="s">
        <v>65</v>
      </c>
      <c r="C112" s="55" t="s">
        <v>62</v>
      </c>
      <c r="D112" s="56"/>
      <c r="E112" s="56">
        <v>1000</v>
      </c>
      <c r="F112" s="56">
        <v>1000</v>
      </c>
      <c r="G112" s="56">
        <v>1000</v>
      </c>
      <c r="H112" s="56">
        <v>1000</v>
      </c>
      <c r="I112" s="56">
        <v>1000</v>
      </c>
      <c r="J112" s="56">
        <v>1000</v>
      </c>
      <c r="K112" s="56">
        <v>1000</v>
      </c>
      <c r="L112" s="56">
        <v>1000</v>
      </c>
      <c r="M112" s="56">
        <v>1000</v>
      </c>
      <c r="N112" s="56">
        <v>1000</v>
      </c>
      <c r="O112" s="56">
        <v>1000</v>
      </c>
      <c r="P112" s="56">
        <v>1000</v>
      </c>
      <c r="Q112" s="56">
        <v>1000</v>
      </c>
      <c r="R112" s="56">
        <v>1000</v>
      </c>
      <c r="S112" s="56">
        <v>1000</v>
      </c>
      <c r="T112" s="56">
        <v>1000</v>
      </c>
      <c r="U112" s="56">
        <v>1000</v>
      </c>
      <c r="V112" s="56">
        <v>1000</v>
      </c>
      <c r="W112" s="56">
        <v>1000</v>
      </c>
      <c r="X112" s="56">
        <v>1000</v>
      </c>
      <c r="Y112" s="56">
        <v>1000</v>
      </c>
      <c r="Z112" s="56">
        <v>1000</v>
      </c>
      <c r="AA112" s="56">
        <v>1000</v>
      </c>
      <c r="AB112" s="56">
        <v>1000</v>
      </c>
      <c r="AC112" s="56">
        <v>1000</v>
      </c>
      <c r="AD112" s="56">
        <v>1000</v>
      </c>
      <c r="AE112" s="56">
        <v>1000</v>
      </c>
      <c r="AF112" s="56">
        <v>1000</v>
      </c>
      <c r="AG112" s="56">
        <v>1000</v>
      </c>
      <c r="AH112" s="56">
        <v>1000</v>
      </c>
    </row>
    <row r="113" spans="1:34" s="57" customFormat="1" ht="15" customHeight="1" x14ac:dyDescent="0.2">
      <c r="A113" s="58"/>
      <c r="B113" s="54" t="s">
        <v>76</v>
      </c>
      <c r="C113" s="58"/>
      <c r="D113" s="56">
        <f>SUM($E$113:$AH$113)</f>
        <v>18354.049149349572</v>
      </c>
      <c r="E113" s="56">
        <v>410.55015515691053</v>
      </c>
      <c r="F113" s="56">
        <v>27.500999240597245</v>
      </c>
      <c r="G113" s="56">
        <v>189.12593246331528</v>
      </c>
      <c r="H113" s="56">
        <v>27.482773807113361</v>
      </c>
      <c r="I113" s="56">
        <v>10.269587832980557</v>
      </c>
      <c r="J113" s="56">
        <v>0</v>
      </c>
      <c r="K113" s="56">
        <v>1103.3920896064571</v>
      </c>
      <c r="L113" s="56">
        <v>3.960455833594573</v>
      </c>
      <c r="M113" s="56">
        <v>3807.489056851367</v>
      </c>
      <c r="N113" s="56">
        <v>868.28331527942487</v>
      </c>
      <c r="O113" s="56">
        <v>120.73938427747133</v>
      </c>
      <c r="P113" s="56">
        <v>31.475072376852001</v>
      </c>
      <c r="Q113" s="56">
        <v>190.43463153638231</v>
      </c>
      <c r="R113" s="56">
        <v>761.96877513687275</v>
      </c>
      <c r="S113" s="56">
        <v>152.63219765046392</v>
      </c>
      <c r="T113" s="56">
        <v>15.584039459554923</v>
      </c>
      <c r="U113" s="56">
        <v>6.1629510195020734</v>
      </c>
      <c r="V113" s="56">
        <v>2.3945927618444207</v>
      </c>
      <c r="W113" s="56">
        <v>10185.349591657561</v>
      </c>
      <c r="X113" s="56">
        <v>76.068654518354393</v>
      </c>
      <c r="Y113" s="56">
        <v>88.907980456542873</v>
      </c>
      <c r="Z113" s="56">
        <v>9.4202082040661637</v>
      </c>
      <c r="AA113" s="56">
        <v>32.040143180154999</v>
      </c>
      <c r="AB113" s="56">
        <v>3.7841077932391469</v>
      </c>
      <c r="AC113" s="56">
        <v>1.2329406269545919</v>
      </c>
      <c r="AD113" s="56">
        <v>10.889050589771266</v>
      </c>
      <c r="AE113" s="56">
        <v>0</v>
      </c>
      <c r="AF113" s="56">
        <v>1.3541322300480001</v>
      </c>
      <c r="AG113" s="56">
        <v>0</v>
      </c>
      <c r="AH113" s="56">
        <v>215.55632980217055</v>
      </c>
    </row>
    <row r="114" spans="1:34" s="57" customFormat="1" ht="15" customHeight="1" x14ac:dyDescent="0.2">
      <c r="A114" s="58"/>
      <c r="B114" s="58"/>
      <c r="C114" s="58"/>
      <c r="D114" s="56"/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56"/>
      <c r="R114" s="56"/>
      <c r="S114" s="56"/>
      <c r="T114" s="56"/>
      <c r="U114" s="56"/>
      <c r="V114" s="56"/>
      <c r="W114" s="56"/>
      <c r="X114" s="56"/>
      <c r="Y114" s="56"/>
      <c r="Z114" s="56"/>
      <c r="AA114" s="56"/>
      <c r="AB114" s="56"/>
      <c r="AC114" s="56"/>
      <c r="AD114" s="56"/>
      <c r="AE114" s="56"/>
      <c r="AF114" s="56"/>
      <c r="AG114" s="56"/>
      <c r="AH114" s="56"/>
    </row>
    <row r="115" spans="1:34" s="57" customFormat="1" ht="15" customHeight="1" x14ac:dyDescent="0.2">
      <c r="A115" s="58"/>
      <c r="B115" s="55" t="s">
        <v>76</v>
      </c>
      <c r="C115" s="55" t="s">
        <v>77</v>
      </c>
      <c r="D115" s="56"/>
      <c r="E115" s="56">
        <v>18354.049149349572</v>
      </c>
      <c r="F115" s="56">
        <v>18354.049149349572</v>
      </c>
      <c r="G115" s="56">
        <v>18354.049149349572</v>
      </c>
      <c r="H115" s="56">
        <v>18354.049149349572</v>
      </c>
      <c r="I115" s="56">
        <v>18354.049149349572</v>
      </c>
      <c r="J115" s="56">
        <v>18354.049149349572</v>
      </c>
      <c r="K115" s="56">
        <v>18354.049149349572</v>
      </c>
      <c r="L115" s="56">
        <v>18354.049149349572</v>
      </c>
      <c r="M115" s="56">
        <v>18354.049149349572</v>
      </c>
      <c r="N115" s="56">
        <v>18354.049149349572</v>
      </c>
      <c r="O115" s="56">
        <v>18354.049149349572</v>
      </c>
      <c r="P115" s="56">
        <v>18354.049149349572</v>
      </c>
      <c r="Q115" s="56">
        <v>18354.049149349572</v>
      </c>
      <c r="R115" s="56">
        <v>18354.049149349572</v>
      </c>
      <c r="S115" s="56">
        <v>18354.049149349572</v>
      </c>
      <c r="T115" s="56">
        <v>18354.049149349572</v>
      </c>
      <c r="U115" s="56">
        <v>18354.049149349572</v>
      </c>
      <c r="V115" s="56">
        <v>18354.049149349572</v>
      </c>
      <c r="W115" s="56">
        <v>18354.049149349572</v>
      </c>
      <c r="X115" s="56">
        <v>18354.049149349572</v>
      </c>
      <c r="Y115" s="56">
        <v>18354.049149349572</v>
      </c>
      <c r="Z115" s="56">
        <v>18354.049149349572</v>
      </c>
      <c r="AA115" s="56">
        <v>18354.049149349572</v>
      </c>
      <c r="AB115" s="56">
        <v>18354.049149349572</v>
      </c>
      <c r="AC115" s="56">
        <v>18354.049149349572</v>
      </c>
      <c r="AD115" s="56">
        <v>18354.049149349572</v>
      </c>
      <c r="AE115" s="56">
        <v>0</v>
      </c>
      <c r="AF115" s="56">
        <v>18354.049149349572</v>
      </c>
      <c r="AG115" s="56">
        <v>18354.049149349572</v>
      </c>
      <c r="AH115" s="56">
        <v>18354.049149349572</v>
      </c>
    </row>
    <row r="116" spans="1:34" s="57" customFormat="1" ht="15" customHeight="1" x14ac:dyDescent="0.2">
      <c r="A116" s="58"/>
      <c r="B116" s="54" t="s">
        <v>78</v>
      </c>
      <c r="C116" s="58"/>
      <c r="D116" s="56">
        <f>SUM($E$116:$AH$116)</f>
        <v>532267.42533113749</v>
      </c>
      <c r="E116" s="56">
        <v>18354.049149349572</v>
      </c>
      <c r="F116" s="56">
        <v>18354.049149349572</v>
      </c>
      <c r="G116" s="56">
        <v>18354.049149349572</v>
      </c>
      <c r="H116" s="56">
        <v>18354.049149349572</v>
      </c>
      <c r="I116" s="56">
        <v>18354.049149349572</v>
      </c>
      <c r="J116" s="56">
        <v>18354.049149349572</v>
      </c>
      <c r="K116" s="56">
        <v>18354.049149349572</v>
      </c>
      <c r="L116" s="56">
        <v>18354.049149349572</v>
      </c>
      <c r="M116" s="56">
        <v>18354.049149349572</v>
      </c>
      <c r="N116" s="56">
        <v>18354.049149349572</v>
      </c>
      <c r="O116" s="56">
        <v>18354.049149349572</v>
      </c>
      <c r="P116" s="56">
        <v>18354.049149349572</v>
      </c>
      <c r="Q116" s="56">
        <v>18354.049149349572</v>
      </c>
      <c r="R116" s="56">
        <v>18354.049149349572</v>
      </c>
      <c r="S116" s="56">
        <v>18354.049149349572</v>
      </c>
      <c r="T116" s="56">
        <v>18354.049149349572</v>
      </c>
      <c r="U116" s="56">
        <v>18354.049149349572</v>
      </c>
      <c r="V116" s="56">
        <v>18354.049149349572</v>
      </c>
      <c r="W116" s="56">
        <v>18354.049149349572</v>
      </c>
      <c r="X116" s="56">
        <v>18354.049149349572</v>
      </c>
      <c r="Y116" s="56">
        <v>18354.049149349572</v>
      </c>
      <c r="Z116" s="56">
        <v>18354.049149349572</v>
      </c>
      <c r="AA116" s="56">
        <v>18354.049149349572</v>
      </c>
      <c r="AB116" s="56">
        <v>18354.049149349572</v>
      </c>
      <c r="AC116" s="56">
        <v>18354.049149349572</v>
      </c>
      <c r="AD116" s="56">
        <v>18354.049149349572</v>
      </c>
      <c r="AE116" s="56">
        <v>0</v>
      </c>
      <c r="AF116" s="56">
        <v>18354.049149349572</v>
      </c>
      <c r="AG116" s="56">
        <v>18354.049149349572</v>
      </c>
      <c r="AH116" s="56">
        <v>18354.049149349572</v>
      </c>
    </row>
    <row r="117" spans="1:34" s="57" customFormat="1" ht="15" customHeight="1" x14ac:dyDescent="0.2">
      <c r="A117" s="58"/>
      <c r="B117" s="58"/>
      <c r="C117" s="58"/>
      <c r="D117" s="56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56"/>
      <c r="R117" s="56"/>
      <c r="S117" s="56"/>
      <c r="T117" s="56"/>
      <c r="U117" s="56"/>
      <c r="V117" s="56"/>
      <c r="W117" s="56"/>
      <c r="X117" s="56"/>
      <c r="Y117" s="56"/>
      <c r="Z117" s="56"/>
      <c r="AA117" s="56"/>
      <c r="AB117" s="56"/>
      <c r="AC117" s="56"/>
      <c r="AD117" s="56"/>
      <c r="AE117" s="56"/>
      <c r="AF117" s="56"/>
      <c r="AG117" s="56"/>
      <c r="AH117" s="56"/>
    </row>
    <row r="118" spans="1:34" s="57" customFormat="1" ht="15" customHeight="1" x14ac:dyDescent="0.2">
      <c r="A118" s="58"/>
      <c r="B118" s="55" t="s">
        <v>76</v>
      </c>
      <c r="C118" s="55" t="s">
        <v>37</v>
      </c>
      <c r="D118" s="56"/>
      <c r="E118" s="56">
        <v>410.55015515691053</v>
      </c>
      <c r="F118" s="56">
        <v>27.500999240597245</v>
      </c>
      <c r="G118" s="56">
        <v>189.12593246331528</v>
      </c>
      <c r="H118" s="56">
        <v>27.482773807113361</v>
      </c>
      <c r="I118" s="56">
        <v>10.269587832980557</v>
      </c>
      <c r="J118" s="56">
        <v>0</v>
      </c>
      <c r="K118" s="56">
        <v>1103.3920896064571</v>
      </c>
      <c r="L118" s="56">
        <v>3.960455833594573</v>
      </c>
      <c r="M118" s="56">
        <v>3807.489056851367</v>
      </c>
      <c r="N118" s="56">
        <v>868.28331527942487</v>
      </c>
      <c r="O118" s="56">
        <v>120.73938427747133</v>
      </c>
      <c r="P118" s="56">
        <v>31.475072376852001</v>
      </c>
      <c r="Q118" s="56">
        <v>190.43463153638231</v>
      </c>
      <c r="R118" s="56">
        <v>761.96877513687275</v>
      </c>
      <c r="S118" s="56">
        <v>152.63219765046392</v>
      </c>
      <c r="T118" s="56">
        <v>15.584039459554923</v>
      </c>
      <c r="U118" s="56">
        <v>6.1629510195020734</v>
      </c>
      <c r="V118" s="56">
        <v>2.3945927618444207</v>
      </c>
      <c r="W118" s="56">
        <v>10185.349591657561</v>
      </c>
      <c r="X118" s="56">
        <v>76.068654518354393</v>
      </c>
      <c r="Y118" s="56">
        <v>88.907980456542873</v>
      </c>
      <c r="Z118" s="56">
        <v>9.4202082040661637</v>
      </c>
      <c r="AA118" s="56">
        <v>32.040143180154999</v>
      </c>
      <c r="AB118" s="56">
        <v>3.7841077932391469</v>
      </c>
      <c r="AC118" s="56">
        <v>1.2329406269545919</v>
      </c>
      <c r="AD118" s="56">
        <v>10.889050589771266</v>
      </c>
      <c r="AE118" s="56">
        <v>0</v>
      </c>
      <c r="AF118" s="56">
        <v>1.3541322300480001</v>
      </c>
      <c r="AG118" s="56">
        <v>0</v>
      </c>
      <c r="AH118" s="56">
        <v>215.55632980217055</v>
      </c>
    </row>
    <row r="119" spans="1:34" s="57" customFormat="1" ht="15" customHeight="1" x14ac:dyDescent="0.2">
      <c r="A119" s="58"/>
      <c r="B119" s="55" t="s">
        <v>78</v>
      </c>
      <c r="C119" s="55" t="s">
        <v>62</v>
      </c>
      <c r="D119" s="56"/>
      <c r="E119" s="56">
        <v>18354.049149349572</v>
      </c>
      <c r="F119" s="56">
        <v>18354.049149349572</v>
      </c>
      <c r="G119" s="56">
        <v>18354.049149349572</v>
      </c>
      <c r="H119" s="56">
        <v>18354.049149349572</v>
      </c>
      <c r="I119" s="56">
        <v>18354.049149349572</v>
      </c>
      <c r="J119" s="56">
        <v>18354.049149349572</v>
      </c>
      <c r="K119" s="56">
        <v>18354.049149349572</v>
      </c>
      <c r="L119" s="56">
        <v>18354.049149349572</v>
      </c>
      <c r="M119" s="56">
        <v>18354.049149349572</v>
      </c>
      <c r="N119" s="56">
        <v>18354.049149349572</v>
      </c>
      <c r="O119" s="56">
        <v>18354.049149349572</v>
      </c>
      <c r="P119" s="56">
        <v>18354.049149349572</v>
      </c>
      <c r="Q119" s="56">
        <v>18354.049149349572</v>
      </c>
      <c r="R119" s="56">
        <v>18354.049149349572</v>
      </c>
      <c r="S119" s="56">
        <v>18354.049149349572</v>
      </c>
      <c r="T119" s="56">
        <v>18354.049149349572</v>
      </c>
      <c r="U119" s="56">
        <v>18354.049149349572</v>
      </c>
      <c r="V119" s="56">
        <v>18354.049149349572</v>
      </c>
      <c r="W119" s="56">
        <v>18354.049149349572</v>
      </c>
      <c r="X119" s="56">
        <v>18354.049149349572</v>
      </c>
      <c r="Y119" s="56">
        <v>18354.049149349572</v>
      </c>
      <c r="Z119" s="56">
        <v>18354.049149349572</v>
      </c>
      <c r="AA119" s="56">
        <v>18354.049149349572</v>
      </c>
      <c r="AB119" s="56">
        <v>18354.049149349572</v>
      </c>
      <c r="AC119" s="56">
        <v>18354.049149349572</v>
      </c>
      <c r="AD119" s="56">
        <v>18354.049149349572</v>
      </c>
      <c r="AE119" s="56">
        <v>0</v>
      </c>
      <c r="AF119" s="56">
        <v>18354.049149349572</v>
      </c>
      <c r="AG119" s="56">
        <v>18354.049149349572</v>
      </c>
      <c r="AH119" s="56">
        <v>18354.049149349572</v>
      </c>
    </row>
    <row r="120" spans="1:34" s="57" customFormat="1" ht="15" customHeight="1" x14ac:dyDescent="0.2">
      <c r="A120" s="58"/>
      <c r="B120" s="54" t="s">
        <v>79</v>
      </c>
      <c r="C120" s="58"/>
      <c r="D120" s="56">
        <f>SUM($E$120:$AH$120)</f>
        <v>0.99999999999999989</v>
      </c>
      <c r="E120" s="56">
        <v>2.2368369606957251E-2</v>
      </c>
      <c r="F120" s="56">
        <v>1.4983614251448064E-3</v>
      </c>
      <c r="G120" s="56">
        <v>1.0304316552950797E-2</v>
      </c>
      <c r="H120" s="56">
        <v>1.4973684326266114E-3</v>
      </c>
      <c r="I120" s="56">
        <v>5.5952709668669976E-4</v>
      </c>
      <c r="J120" s="56">
        <v>0</v>
      </c>
      <c r="K120" s="56">
        <v>6.0117093543119282E-2</v>
      </c>
      <c r="L120" s="56">
        <v>2.157810410862348E-4</v>
      </c>
      <c r="M120" s="56">
        <v>0.20744681600606349</v>
      </c>
      <c r="N120" s="56">
        <v>4.7307452879420613E-2</v>
      </c>
      <c r="O120" s="56">
        <v>6.5783513651400498E-3</v>
      </c>
      <c r="P120" s="56">
        <v>1.7148843898550533E-3</v>
      </c>
      <c r="Q120" s="56">
        <v>1.0375619569653976E-2</v>
      </c>
      <c r="R120" s="56">
        <v>4.1515023139396749E-2</v>
      </c>
      <c r="S120" s="56">
        <v>8.3159959095932181E-3</v>
      </c>
      <c r="T120" s="56">
        <v>8.4907909599376804E-4</v>
      </c>
      <c r="U120" s="56">
        <v>3.3578154713182048E-4</v>
      </c>
      <c r="V120" s="56">
        <v>1.3046672929549607E-4</v>
      </c>
      <c r="W120" s="56">
        <v>0.55493746958929269</v>
      </c>
      <c r="X120" s="56">
        <v>4.1445162263309132E-3</v>
      </c>
      <c r="Y120" s="56">
        <v>4.8440526519835311E-3</v>
      </c>
      <c r="Z120" s="56">
        <v>5.1324959018103069E-4</v>
      </c>
      <c r="AA120" s="56">
        <v>1.7456716455012018E-3</v>
      </c>
      <c r="AB120" s="56">
        <v>2.0617291380486727E-4</v>
      </c>
      <c r="AC120" s="56">
        <v>6.7175401837598589E-5</v>
      </c>
      <c r="AD120" s="56">
        <v>5.9327783755864843E-4</v>
      </c>
      <c r="AE120" s="56">
        <v>0</v>
      </c>
      <c r="AF120" s="56">
        <v>7.3778391843087529E-5</v>
      </c>
      <c r="AG120" s="56">
        <v>0</v>
      </c>
      <c r="AH120" s="56">
        <v>1.1744347421550269E-2</v>
      </c>
    </row>
    <row r="121" spans="1:34" s="57" customFormat="1" ht="15" customHeight="1" x14ac:dyDescent="0.2">
      <c r="A121" s="58"/>
      <c r="B121" s="58"/>
      <c r="C121" s="58"/>
      <c r="D121" s="56"/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  <c r="P121" s="56"/>
      <c r="Q121" s="56"/>
      <c r="R121" s="56"/>
      <c r="S121" s="56"/>
      <c r="T121" s="56"/>
      <c r="U121" s="56"/>
      <c r="V121" s="56"/>
      <c r="W121" s="56"/>
      <c r="X121" s="56"/>
      <c r="Y121" s="56"/>
      <c r="Z121" s="56"/>
      <c r="AA121" s="56"/>
      <c r="AB121" s="56"/>
      <c r="AC121" s="56"/>
      <c r="AD121" s="56"/>
      <c r="AE121" s="56"/>
      <c r="AF121" s="56"/>
      <c r="AG121" s="56"/>
      <c r="AH121" s="56"/>
    </row>
    <row r="122" spans="1:34" s="57" customFormat="1" ht="15" customHeight="1" x14ac:dyDescent="0.2">
      <c r="A122" s="58"/>
      <c r="B122" s="55" t="s">
        <v>79</v>
      </c>
      <c r="C122" s="55" t="s">
        <v>37</v>
      </c>
      <c r="D122" s="56"/>
      <c r="E122" s="56">
        <v>2.2368369606957251E-2</v>
      </c>
      <c r="F122" s="56">
        <v>1.4983614251448064E-3</v>
      </c>
      <c r="G122" s="56">
        <v>1.0304316552950797E-2</v>
      </c>
      <c r="H122" s="56">
        <v>1.4973684326266114E-3</v>
      </c>
      <c r="I122" s="56">
        <v>5.5952709668669976E-4</v>
      </c>
      <c r="J122" s="56">
        <v>0</v>
      </c>
      <c r="K122" s="56">
        <v>6.0117093543119282E-2</v>
      </c>
      <c r="L122" s="56">
        <v>2.157810410862348E-4</v>
      </c>
      <c r="M122" s="56">
        <v>0.20744681600606349</v>
      </c>
      <c r="N122" s="56">
        <v>4.7307452879420613E-2</v>
      </c>
      <c r="O122" s="56">
        <v>6.5783513651400498E-3</v>
      </c>
      <c r="P122" s="56">
        <v>1.7148843898550533E-3</v>
      </c>
      <c r="Q122" s="56">
        <v>1.0375619569653976E-2</v>
      </c>
      <c r="R122" s="56">
        <v>4.1515023139396749E-2</v>
      </c>
      <c r="S122" s="56">
        <v>8.3159959095932181E-3</v>
      </c>
      <c r="T122" s="56">
        <v>8.4907909599376804E-4</v>
      </c>
      <c r="U122" s="56">
        <v>3.3578154713182048E-4</v>
      </c>
      <c r="V122" s="56">
        <v>1.3046672929549607E-4</v>
      </c>
      <c r="W122" s="56">
        <v>0.55493746958929269</v>
      </c>
      <c r="X122" s="56">
        <v>4.1445162263309132E-3</v>
      </c>
      <c r="Y122" s="56">
        <v>4.8440526519835311E-3</v>
      </c>
      <c r="Z122" s="56">
        <v>5.1324959018103069E-4</v>
      </c>
      <c r="AA122" s="56">
        <v>1.7456716455012018E-3</v>
      </c>
      <c r="AB122" s="56">
        <v>2.0617291380486727E-4</v>
      </c>
      <c r="AC122" s="56">
        <v>6.7175401837598589E-5</v>
      </c>
      <c r="AD122" s="56">
        <v>5.9327783755864843E-4</v>
      </c>
      <c r="AE122" s="56">
        <v>1</v>
      </c>
      <c r="AF122" s="56">
        <v>7.3778391843087529E-5</v>
      </c>
      <c r="AG122" s="56">
        <v>0</v>
      </c>
      <c r="AH122" s="56">
        <v>1.1744347421550269E-2</v>
      </c>
    </row>
    <row r="123" spans="1:34" s="57" customFormat="1" ht="15" customHeight="1" x14ac:dyDescent="0.2">
      <c r="A123" s="58"/>
      <c r="B123" s="54" t="s">
        <v>80</v>
      </c>
      <c r="C123" s="58"/>
      <c r="D123" s="56">
        <f>SUM($E$123:$AH$123)</f>
        <v>2</v>
      </c>
      <c r="E123" s="56">
        <v>2.2368369606957251E-2</v>
      </c>
      <c r="F123" s="56">
        <v>1.4983614251448064E-3</v>
      </c>
      <c r="G123" s="56">
        <v>1.0304316552950797E-2</v>
      </c>
      <c r="H123" s="56">
        <v>1.4973684326266114E-3</v>
      </c>
      <c r="I123" s="56">
        <v>5.5952709668669976E-4</v>
      </c>
      <c r="J123" s="56">
        <v>0</v>
      </c>
      <c r="K123" s="56">
        <v>6.0117093543119282E-2</v>
      </c>
      <c r="L123" s="56">
        <v>2.157810410862348E-4</v>
      </c>
      <c r="M123" s="56">
        <v>0.20744681600606349</v>
      </c>
      <c r="N123" s="56">
        <v>4.7307452879420613E-2</v>
      </c>
      <c r="O123" s="56">
        <v>6.5783513651400498E-3</v>
      </c>
      <c r="P123" s="56">
        <v>1.7148843898550533E-3</v>
      </c>
      <c r="Q123" s="56">
        <v>1.0375619569653976E-2</v>
      </c>
      <c r="R123" s="56">
        <v>4.1515023139396749E-2</v>
      </c>
      <c r="S123" s="56">
        <v>8.3159959095932181E-3</v>
      </c>
      <c r="T123" s="56">
        <v>8.4907909599376804E-4</v>
      </c>
      <c r="U123" s="56">
        <v>3.3578154713182048E-4</v>
      </c>
      <c r="V123" s="56">
        <v>1.3046672929549607E-4</v>
      </c>
      <c r="W123" s="56">
        <v>0.55493746958929269</v>
      </c>
      <c r="X123" s="56">
        <v>4.1445162263309132E-3</v>
      </c>
      <c r="Y123" s="56">
        <v>4.8440526519835311E-3</v>
      </c>
      <c r="Z123" s="56">
        <v>5.1324959018103069E-4</v>
      </c>
      <c r="AA123" s="56">
        <v>1.7456716455012018E-3</v>
      </c>
      <c r="AB123" s="56">
        <v>2.0617291380486727E-4</v>
      </c>
      <c r="AC123" s="56">
        <v>6.7175401837598589E-5</v>
      </c>
      <c r="AD123" s="56">
        <v>5.9327783755864843E-4</v>
      </c>
      <c r="AE123" s="56">
        <v>1</v>
      </c>
      <c r="AF123" s="56">
        <v>7.3778391843087529E-5</v>
      </c>
      <c r="AG123" s="56">
        <v>0</v>
      </c>
      <c r="AH123" s="56">
        <v>1.1744347421550269E-2</v>
      </c>
    </row>
    <row r="124" spans="1:34" s="57" customFormat="1" ht="15" customHeight="1" x14ac:dyDescent="0.2">
      <c r="A124" s="58"/>
      <c r="B124" s="58"/>
      <c r="C124" s="58"/>
      <c r="D124" s="56"/>
      <c r="E124" s="56"/>
      <c r="F124" s="56"/>
      <c r="G124" s="56"/>
      <c r="H124" s="56"/>
      <c r="I124" s="56"/>
      <c r="J124" s="56"/>
      <c r="K124" s="56"/>
      <c r="L124" s="56"/>
      <c r="M124" s="56"/>
      <c r="N124" s="56"/>
      <c r="O124" s="56"/>
      <c r="P124" s="56"/>
      <c r="Q124" s="56"/>
      <c r="R124" s="56"/>
      <c r="S124" s="56"/>
      <c r="T124" s="56"/>
      <c r="U124" s="56"/>
      <c r="V124" s="56"/>
      <c r="W124" s="56"/>
      <c r="X124" s="56"/>
      <c r="Y124" s="56"/>
      <c r="Z124" s="56"/>
      <c r="AA124" s="56"/>
      <c r="AB124" s="56"/>
      <c r="AC124" s="56"/>
      <c r="AD124" s="56"/>
      <c r="AE124" s="56"/>
      <c r="AF124" s="56"/>
      <c r="AG124" s="56"/>
      <c r="AH124" s="56"/>
    </row>
    <row r="125" spans="1:34" s="57" customFormat="1" ht="15" customHeight="1" x14ac:dyDescent="0.2">
      <c r="A125" s="58"/>
      <c r="B125" s="55" t="s">
        <v>71</v>
      </c>
      <c r="C125" s="55" t="s">
        <v>37</v>
      </c>
      <c r="D125" s="56"/>
      <c r="E125" s="56">
        <v>-0.99208775311981223</v>
      </c>
      <c r="F125" s="56">
        <v>-0.99208775311981223</v>
      </c>
      <c r="G125" s="56">
        <v>-0.99208775311981223</v>
      </c>
      <c r="H125" s="56">
        <v>-0.99208775311981223</v>
      </c>
      <c r="I125" s="56">
        <v>-0.99208775311981223</v>
      </c>
      <c r="J125" s="56">
        <v>-0.99208775311981223</v>
      </c>
      <c r="K125" s="56">
        <v>-0.99208775311981223</v>
      </c>
      <c r="L125" s="56">
        <v>-0.99208775311981223</v>
      </c>
      <c r="M125" s="56">
        <v>-0.99208775311981223</v>
      </c>
      <c r="N125" s="56">
        <v>-0.99208775311981223</v>
      </c>
      <c r="O125" s="56">
        <v>-0.99208775311981223</v>
      </c>
      <c r="P125" s="56">
        <v>-0.99208775311981223</v>
      </c>
      <c r="Q125" s="56">
        <v>-0.99208775311981223</v>
      </c>
      <c r="R125" s="56">
        <v>-0.99208775311981223</v>
      </c>
      <c r="S125" s="56">
        <v>-0.99208775311981223</v>
      </c>
      <c r="T125" s="56">
        <v>-0.99208775311981223</v>
      </c>
      <c r="U125" s="56">
        <v>-0.99208775311981223</v>
      </c>
      <c r="V125" s="56">
        <v>-0.99208775311981223</v>
      </c>
      <c r="W125" s="56">
        <v>-0.99208775311981223</v>
      </c>
      <c r="X125" s="56">
        <v>-0.99208775311981223</v>
      </c>
      <c r="Y125" s="56">
        <v>-0.99208775311981223</v>
      </c>
      <c r="Z125" s="56">
        <v>-0.99208775311981223</v>
      </c>
      <c r="AA125" s="56">
        <v>-0.99208775311981223</v>
      </c>
      <c r="AB125" s="56">
        <v>-0.99208775311981223</v>
      </c>
      <c r="AC125" s="56">
        <v>-0.99208775311981223</v>
      </c>
      <c r="AD125" s="56">
        <v>-0.99208775311981223</v>
      </c>
      <c r="AE125" s="56">
        <v>-7.9122468801878093E-3</v>
      </c>
      <c r="AF125" s="56">
        <v>-0.99208775311981223</v>
      </c>
      <c r="AG125" s="56">
        <v>-0.99208775311981223</v>
      </c>
      <c r="AH125" s="56">
        <v>-0.99208775311981223</v>
      </c>
    </row>
    <row r="126" spans="1:34" s="57" customFormat="1" ht="15" customHeight="1" x14ac:dyDescent="0.2">
      <c r="A126" s="58"/>
      <c r="B126" s="55" t="s">
        <v>80</v>
      </c>
      <c r="C126" s="55" t="s">
        <v>42</v>
      </c>
      <c r="D126" s="56"/>
      <c r="E126" s="56">
        <v>2.2368369606957251E-2</v>
      </c>
      <c r="F126" s="56">
        <v>1.4983614251448064E-3</v>
      </c>
      <c r="G126" s="56">
        <v>1.0304316552950797E-2</v>
      </c>
      <c r="H126" s="56">
        <v>1.4973684326266114E-3</v>
      </c>
      <c r="I126" s="56">
        <v>5.5952709668669976E-4</v>
      </c>
      <c r="J126" s="56">
        <v>0</v>
      </c>
      <c r="K126" s="56">
        <v>6.0117093543119282E-2</v>
      </c>
      <c r="L126" s="56">
        <v>2.157810410862348E-4</v>
      </c>
      <c r="M126" s="56">
        <v>0.20744681600606349</v>
      </c>
      <c r="N126" s="56">
        <v>4.7307452879420613E-2</v>
      </c>
      <c r="O126" s="56">
        <v>6.5783513651400498E-3</v>
      </c>
      <c r="P126" s="56">
        <v>1.7148843898550533E-3</v>
      </c>
      <c r="Q126" s="56">
        <v>1.0375619569653976E-2</v>
      </c>
      <c r="R126" s="56">
        <v>4.1515023139396749E-2</v>
      </c>
      <c r="S126" s="56">
        <v>8.3159959095932181E-3</v>
      </c>
      <c r="T126" s="56">
        <v>8.4907909599376804E-4</v>
      </c>
      <c r="U126" s="56">
        <v>3.3578154713182048E-4</v>
      </c>
      <c r="V126" s="56">
        <v>1.3046672929549607E-4</v>
      </c>
      <c r="W126" s="56">
        <v>0.55493746958929269</v>
      </c>
      <c r="X126" s="56">
        <v>4.1445162263309132E-3</v>
      </c>
      <c r="Y126" s="56">
        <v>4.8440526519835311E-3</v>
      </c>
      <c r="Z126" s="56">
        <v>5.1324959018103069E-4</v>
      </c>
      <c r="AA126" s="56">
        <v>1.7456716455012018E-3</v>
      </c>
      <c r="AB126" s="56">
        <v>2.0617291380486727E-4</v>
      </c>
      <c r="AC126" s="56">
        <v>6.7175401837598589E-5</v>
      </c>
      <c r="AD126" s="56">
        <v>5.9327783755864843E-4</v>
      </c>
      <c r="AE126" s="56">
        <v>1</v>
      </c>
      <c r="AF126" s="56">
        <v>7.3778391843087529E-5</v>
      </c>
      <c r="AG126" s="56">
        <v>0</v>
      </c>
      <c r="AH126" s="56">
        <v>1.1744347421550269E-2</v>
      </c>
    </row>
    <row r="127" spans="1:34" s="57" customFormat="1" ht="15" customHeight="1" x14ac:dyDescent="0.2">
      <c r="A127" s="58"/>
      <c r="B127" s="54" t="s">
        <v>81</v>
      </c>
      <c r="C127" s="58"/>
      <c r="D127" s="56">
        <f>SUM($E$127:$AH$127)</f>
        <v>-0.99999999999999956</v>
      </c>
      <c r="E127" s="56">
        <v>-2.2191385544319715E-2</v>
      </c>
      <c r="F127" s="56">
        <v>-1.4865060196333107E-3</v>
      </c>
      <c r="G127" s="56">
        <v>-1.0222786256452244E-2</v>
      </c>
      <c r="H127" s="56">
        <v>-1.4855208839170699E-3</v>
      </c>
      <c r="I127" s="56">
        <v>-5.5509998016155986E-4</v>
      </c>
      <c r="J127" s="56">
        <v>0</v>
      </c>
      <c r="K127" s="56">
        <v>-5.9641432257286783E-2</v>
      </c>
      <c r="L127" s="56">
        <v>-2.1407372821709658E-4</v>
      </c>
      <c r="M127" s="56">
        <v>-0.20580544558331462</v>
      </c>
      <c r="N127" s="56">
        <v>-4.6933144632965787E-2</v>
      </c>
      <c r="O127" s="56">
        <v>-6.5263018250744419E-3</v>
      </c>
      <c r="P127" s="56">
        <v>-1.7013158011915399E-3</v>
      </c>
      <c r="Q127" s="56">
        <v>-1.0293525106083966E-2</v>
      </c>
      <c r="R127" s="56">
        <v>-4.1186546027081133E-2</v>
      </c>
      <c r="S127" s="56">
        <v>-8.2501976969018842E-3</v>
      </c>
      <c r="T127" s="56">
        <v>-8.4236097256545873E-4</v>
      </c>
      <c r="U127" s="56">
        <v>-3.3312476063310209E-4</v>
      </c>
      <c r="V127" s="56">
        <v>-1.2943444432365948E-4</v>
      </c>
      <c r="W127" s="56">
        <v>-0.55054666732683555</v>
      </c>
      <c r="X127" s="56">
        <v>-4.1117237907492389E-3</v>
      </c>
      <c r="Y127" s="56">
        <v>-4.8057253115004091E-3</v>
      </c>
      <c r="Z127" s="56">
        <v>-5.0918863271236323E-4</v>
      </c>
      <c r="AA127" s="56">
        <v>-1.7318594604702527E-3</v>
      </c>
      <c r="AB127" s="56">
        <v>-2.0454162281083549E-4</v>
      </c>
      <c r="AC127" s="56">
        <v>-6.6643893473983688E-5</v>
      </c>
      <c r="AD127" s="56">
        <v>-5.8858367683934049E-4</v>
      </c>
      <c r="AE127" s="56">
        <v>-7.9122468801878093E-3</v>
      </c>
      <c r="AF127" s="56">
        <v>-7.3194638992401788E-5</v>
      </c>
      <c r="AG127" s="56">
        <v>0</v>
      </c>
      <c r="AH127" s="56">
        <v>-1.1651423245304268E-2</v>
      </c>
    </row>
    <row r="128" spans="1:34" s="57" customFormat="1" ht="15" customHeight="1" x14ac:dyDescent="0.2">
      <c r="A128" s="58"/>
      <c r="B128" s="58"/>
      <c r="C128" s="58"/>
      <c r="D128" s="56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  <c r="P128" s="56"/>
      <c r="Q128" s="56"/>
      <c r="R128" s="56"/>
      <c r="S128" s="56"/>
      <c r="T128" s="56"/>
      <c r="U128" s="56"/>
      <c r="V128" s="56"/>
      <c r="W128" s="56"/>
      <c r="X128" s="56"/>
      <c r="Y128" s="56"/>
      <c r="Z128" s="56"/>
      <c r="AA128" s="56"/>
      <c r="AB128" s="56"/>
      <c r="AC128" s="56"/>
      <c r="AD128" s="56"/>
      <c r="AE128" s="56"/>
      <c r="AF128" s="56"/>
      <c r="AG128" s="56"/>
      <c r="AH128" s="56"/>
    </row>
    <row r="129" spans="1:34" s="57" customFormat="1" ht="15" customHeight="1" x14ac:dyDescent="0.2">
      <c r="A129" s="58"/>
      <c r="B129" s="55" t="s">
        <v>81</v>
      </c>
      <c r="C129" s="55" t="s">
        <v>37</v>
      </c>
      <c r="D129" s="56"/>
      <c r="E129" s="56">
        <v>-2.2191385544319715E-2</v>
      </c>
      <c r="F129" s="56">
        <v>-1.4865060196333107E-3</v>
      </c>
      <c r="G129" s="56">
        <v>-1.0222786256452244E-2</v>
      </c>
      <c r="H129" s="56">
        <v>-1.4855208839170699E-3</v>
      </c>
      <c r="I129" s="56">
        <v>-5.5509998016155986E-4</v>
      </c>
      <c r="J129" s="56">
        <v>0</v>
      </c>
      <c r="K129" s="56">
        <v>-5.9641432257286783E-2</v>
      </c>
      <c r="L129" s="56">
        <v>-2.1407372821709658E-4</v>
      </c>
      <c r="M129" s="56">
        <v>-0.20580544558331462</v>
      </c>
      <c r="N129" s="56">
        <v>-4.6933144632965787E-2</v>
      </c>
      <c r="O129" s="56">
        <v>-6.5263018250744419E-3</v>
      </c>
      <c r="P129" s="56">
        <v>-1.7013158011915399E-3</v>
      </c>
      <c r="Q129" s="56">
        <v>-1.0293525106083966E-2</v>
      </c>
      <c r="R129" s="56">
        <v>-4.1186546027081133E-2</v>
      </c>
      <c r="S129" s="56">
        <v>-8.2501976969018842E-3</v>
      </c>
      <c r="T129" s="56">
        <v>-8.4236097256545873E-4</v>
      </c>
      <c r="U129" s="56">
        <v>-3.3312476063310209E-4</v>
      </c>
      <c r="V129" s="56">
        <v>-1.2943444432365948E-4</v>
      </c>
      <c r="W129" s="56">
        <v>-0.55054666732683555</v>
      </c>
      <c r="X129" s="56">
        <v>-4.1117237907492389E-3</v>
      </c>
      <c r="Y129" s="56">
        <v>-4.8057253115004091E-3</v>
      </c>
      <c r="Z129" s="56">
        <v>-5.0918863271236323E-4</v>
      </c>
      <c r="AA129" s="56">
        <v>-1.7318594604702527E-3</v>
      </c>
      <c r="AB129" s="56">
        <v>-2.0454162281083549E-4</v>
      </c>
      <c r="AC129" s="56">
        <v>-6.6643893473983688E-5</v>
      </c>
      <c r="AD129" s="56">
        <v>-5.8858367683934049E-4</v>
      </c>
      <c r="AE129" s="56">
        <v>-7.9122468801878093E-3</v>
      </c>
      <c r="AF129" s="56">
        <v>-7.3194638992401788E-5</v>
      </c>
      <c r="AG129" s="56">
        <v>0</v>
      </c>
      <c r="AH129" s="56">
        <v>-1.1651423245304268E-2</v>
      </c>
    </row>
    <row r="130" spans="1:34" s="57" customFormat="1" ht="15" customHeight="1" x14ac:dyDescent="0.2">
      <c r="A130" s="58"/>
      <c r="B130" s="55" t="s">
        <v>65</v>
      </c>
      <c r="C130" s="55" t="s">
        <v>42</v>
      </c>
      <c r="D130" s="56"/>
      <c r="E130" s="56">
        <v>1000</v>
      </c>
      <c r="F130" s="56">
        <v>1000</v>
      </c>
      <c r="G130" s="56">
        <v>1000</v>
      </c>
      <c r="H130" s="56">
        <v>1000</v>
      </c>
      <c r="I130" s="56">
        <v>1000</v>
      </c>
      <c r="J130" s="56">
        <v>1000</v>
      </c>
      <c r="K130" s="56">
        <v>1000</v>
      </c>
      <c r="L130" s="56">
        <v>1000</v>
      </c>
      <c r="M130" s="56">
        <v>1000</v>
      </c>
      <c r="N130" s="56">
        <v>1000</v>
      </c>
      <c r="O130" s="56">
        <v>1000</v>
      </c>
      <c r="P130" s="56">
        <v>1000</v>
      </c>
      <c r="Q130" s="56">
        <v>1000</v>
      </c>
      <c r="R130" s="56">
        <v>1000</v>
      </c>
      <c r="S130" s="56">
        <v>1000</v>
      </c>
      <c r="T130" s="56">
        <v>1000</v>
      </c>
      <c r="U130" s="56">
        <v>1000</v>
      </c>
      <c r="V130" s="56">
        <v>1000</v>
      </c>
      <c r="W130" s="56">
        <v>1000</v>
      </c>
      <c r="X130" s="56">
        <v>1000</v>
      </c>
      <c r="Y130" s="56">
        <v>1000</v>
      </c>
      <c r="Z130" s="56">
        <v>1000</v>
      </c>
      <c r="AA130" s="56">
        <v>1000</v>
      </c>
      <c r="AB130" s="56">
        <v>1000</v>
      </c>
      <c r="AC130" s="56">
        <v>1000</v>
      </c>
      <c r="AD130" s="56">
        <v>1000</v>
      </c>
      <c r="AE130" s="56">
        <v>1000</v>
      </c>
      <c r="AF130" s="56">
        <v>1000</v>
      </c>
      <c r="AG130" s="56">
        <v>1000</v>
      </c>
      <c r="AH130" s="56">
        <v>1000</v>
      </c>
    </row>
    <row r="131" spans="1:34" s="57" customFormat="1" ht="15" customHeight="1" x14ac:dyDescent="0.2">
      <c r="A131" s="58"/>
      <c r="B131" s="54" t="s">
        <v>82</v>
      </c>
      <c r="C131" s="58"/>
      <c r="D131" s="56">
        <f>SUM($E$131:$AH$131)</f>
        <v>-999.99999999999955</v>
      </c>
      <c r="E131" s="56">
        <v>-22.191385544319715</v>
      </c>
      <c r="F131" s="56">
        <v>-1.4865060196333106</v>
      </c>
      <c r="G131" s="56">
        <v>-10.222786256452244</v>
      </c>
      <c r="H131" s="56">
        <v>-1.4855208839170699</v>
      </c>
      <c r="I131" s="56">
        <v>-0.55509998016155981</v>
      </c>
      <c r="J131" s="56">
        <v>0</v>
      </c>
      <c r="K131" s="56">
        <v>-59.64143225728678</v>
      </c>
      <c r="L131" s="56">
        <v>-0.21407372821709658</v>
      </c>
      <c r="M131" s="56">
        <v>-205.80544558331462</v>
      </c>
      <c r="N131" s="56">
        <v>-46.933144632965785</v>
      </c>
      <c r="O131" s="56">
        <v>-6.5263018250744418</v>
      </c>
      <c r="P131" s="56">
        <v>-1.7013158011915399</v>
      </c>
      <c r="Q131" s="56">
        <v>-10.293525106083965</v>
      </c>
      <c r="R131" s="56">
        <v>-41.186546027081135</v>
      </c>
      <c r="S131" s="56">
        <v>-8.2501976969018838</v>
      </c>
      <c r="T131" s="56">
        <v>-0.84236097256545872</v>
      </c>
      <c r="U131" s="56">
        <v>-0.33312476063310209</v>
      </c>
      <c r="V131" s="56">
        <v>-0.1294344443236595</v>
      </c>
      <c r="W131" s="56">
        <v>-550.54666732683552</v>
      </c>
      <c r="X131" s="56">
        <v>-4.111723790749239</v>
      </c>
      <c r="Y131" s="56">
        <v>-4.8057253115004093</v>
      </c>
      <c r="Z131" s="56">
        <v>-0.50918863271236325</v>
      </c>
      <c r="AA131" s="56">
        <v>-1.7318594604702526</v>
      </c>
      <c r="AB131" s="56">
        <v>-0.20454162281083549</v>
      </c>
      <c r="AC131" s="56">
        <v>-6.6643893473983681E-2</v>
      </c>
      <c r="AD131" s="56">
        <v>-0.58858367683934054</v>
      </c>
      <c r="AE131" s="56">
        <v>-7.9122468801878094</v>
      </c>
      <c r="AF131" s="56">
        <v>-7.3194638992401792E-2</v>
      </c>
      <c r="AG131" s="56">
        <v>0</v>
      </c>
      <c r="AH131" s="56">
        <v>-11.651423245304267</v>
      </c>
    </row>
    <row r="132" spans="1:34" s="57" customFormat="1" ht="15" customHeight="1" x14ac:dyDescent="0.2">
      <c r="A132" s="58"/>
      <c r="B132" s="58"/>
      <c r="C132" s="58"/>
      <c r="D132" s="56"/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56"/>
      <c r="P132" s="56"/>
      <c r="Q132" s="56"/>
      <c r="R132" s="56"/>
      <c r="S132" s="56"/>
      <c r="T132" s="56"/>
      <c r="U132" s="56"/>
      <c r="V132" s="56"/>
      <c r="W132" s="56"/>
      <c r="X132" s="56"/>
      <c r="Y132" s="56"/>
      <c r="Z132" s="56"/>
      <c r="AA132" s="56"/>
      <c r="AB132" s="56"/>
      <c r="AC132" s="56"/>
      <c r="AD132" s="56"/>
      <c r="AE132" s="56"/>
      <c r="AF132" s="56"/>
      <c r="AG132" s="56"/>
      <c r="AH132" s="56"/>
    </row>
    <row r="133" spans="1:34" s="57" customFormat="1" ht="15" customHeight="1" x14ac:dyDescent="0.2">
      <c r="A133" s="58"/>
      <c r="B133" s="55" t="s">
        <v>82</v>
      </c>
      <c r="C133" s="55" t="s">
        <v>37</v>
      </c>
      <c r="D133" s="56"/>
      <c r="E133" s="56">
        <v>-22.191385544319715</v>
      </c>
      <c r="F133" s="56">
        <v>-1.4865060196333106</v>
      </c>
      <c r="G133" s="56">
        <v>-10.222786256452244</v>
      </c>
      <c r="H133" s="56">
        <v>-1.4855208839170699</v>
      </c>
      <c r="I133" s="56">
        <v>-0.55509998016155981</v>
      </c>
      <c r="J133" s="56">
        <v>0</v>
      </c>
      <c r="K133" s="56">
        <v>-59.64143225728678</v>
      </c>
      <c r="L133" s="56">
        <v>-0.21407372821709658</v>
      </c>
      <c r="M133" s="56">
        <v>-205.80544558331462</v>
      </c>
      <c r="N133" s="56">
        <v>-46.933144632965785</v>
      </c>
      <c r="O133" s="56">
        <v>-6.5263018250744418</v>
      </c>
      <c r="P133" s="56">
        <v>-1.7013158011915399</v>
      </c>
      <c r="Q133" s="56">
        <v>-10.293525106083965</v>
      </c>
      <c r="R133" s="56">
        <v>-41.186546027081135</v>
      </c>
      <c r="S133" s="56">
        <v>-8.2501976969018838</v>
      </c>
      <c r="T133" s="56">
        <v>-0.84236097256545872</v>
      </c>
      <c r="U133" s="56">
        <v>-0.33312476063310209</v>
      </c>
      <c r="V133" s="56">
        <v>-0.1294344443236595</v>
      </c>
      <c r="W133" s="56">
        <v>-550.54666732683552</v>
      </c>
      <c r="X133" s="56">
        <v>-4.111723790749239</v>
      </c>
      <c r="Y133" s="56">
        <v>-4.8057253115004093</v>
      </c>
      <c r="Z133" s="56">
        <v>-0.50918863271236325</v>
      </c>
      <c r="AA133" s="56">
        <v>-1.7318594604702526</v>
      </c>
      <c r="AB133" s="56">
        <v>-0.20454162281083549</v>
      </c>
      <c r="AC133" s="56">
        <v>-6.6643893473983681E-2</v>
      </c>
      <c r="AD133" s="56">
        <v>-0.58858367683934054</v>
      </c>
      <c r="AE133" s="56">
        <v>-7.9122468801878094</v>
      </c>
      <c r="AF133" s="56">
        <v>-7.3194638992401792E-2</v>
      </c>
      <c r="AG133" s="56">
        <v>0</v>
      </c>
      <c r="AH133" s="56">
        <v>-11.651423245304267</v>
      </c>
    </row>
    <row r="134" spans="1:34" s="57" customFormat="1" ht="15" customHeight="1" x14ac:dyDescent="0.2">
      <c r="A134" s="58"/>
      <c r="B134" s="55" t="s">
        <v>70</v>
      </c>
      <c r="C134" s="55" t="s">
        <v>42</v>
      </c>
      <c r="D134" s="56"/>
      <c r="E134" s="56">
        <v>-1</v>
      </c>
      <c r="F134" s="56">
        <v>-1</v>
      </c>
      <c r="G134" s="56">
        <v>-1</v>
      </c>
      <c r="H134" s="56">
        <v>-1</v>
      </c>
      <c r="I134" s="56">
        <v>-1</v>
      </c>
      <c r="J134" s="56">
        <v>-1</v>
      </c>
      <c r="K134" s="56">
        <v>-1</v>
      </c>
      <c r="L134" s="56">
        <v>-1</v>
      </c>
      <c r="M134" s="56">
        <v>-1</v>
      </c>
      <c r="N134" s="56">
        <v>-1</v>
      </c>
      <c r="O134" s="56">
        <v>-1</v>
      </c>
      <c r="P134" s="56">
        <v>-1</v>
      </c>
      <c r="Q134" s="56">
        <v>-1</v>
      </c>
      <c r="R134" s="56">
        <v>-1</v>
      </c>
      <c r="S134" s="56">
        <v>-1</v>
      </c>
      <c r="T134" s="56">
        <v>-1</v>
      </c>
      <c r="U134" s="56">
        <v>-1</v>
      </c>
      <c r="V134" s="56">
        <v>-1</v>
      </c>
      <c r="W134" s="56">
        <v>-1</v>
      </c>
      <c r="X134" s="56">
        <v>-1</v>
      </c>
      <c r="Y134" s="56">
        <v>-1</v>
      </c>
      <c r="Z134" s="56">
        <v>-1</v>
      </c>
      <c r="AA134" s="56">
        <v>-1</v>
      </c>
      <c r="AB134" s="56">
        <v>-1</v>
      </c>
      <c r="AC134" s="56">
        <v>-1</v>
      </c>
      <c r="AD134" s="56">
        <v>-1</v>
      </c>
      <c r="AE134" s="56">
        <v>-1</v>
      </c>
      <c r="AF134" s="56">
        <v>-1</v>
      </c>
      <c r="AG134" s="56">
        <v>-1</v>
      </c>
      <c r="AH134" s="56">
        <v>-1</v>
      </c>
    </row>
    <row r="135" spans="1:34" s="57" customFormat="1" ht="15" customHeight="1" x14ac:dyDescent="0.2">
      <c r="A135" s="58"/>
      <c r="B135" s="55" t="s">
        <v>65</v>
      </c>
      <c r="C135" s="55" t="s">
        <v>42</v>
      </c>
      <c r="D135" s="56"/>
      <c r="E135" s="56">
        <v>1000</v>
      </c>
      <c r="F135" s="56">
        <v>1000</v>
      </c>
      <c r="G135" s="56">
        <v>1000</v>
      </c>
      <c r="H135" s="56">
        <v>1000</v>
      </c>
      <c r="I135" s="56">
        <v>1000</v>
      </c>
      <c r="J135" s="56">
        <v>1000</v>
      </c>
      <c r="K135" s="56">
        <v>1000</v>
      </c>
      <c r="L135" s="56">
        <v>1000</v>
      </c>
      <c r="M135" s="56">
        <v>1000</v>
      </c>
      <c r="N135" s="56">
        <v>1000</v>
      </c>
      <c r="O135" s="56">
        <v>1000</v>
      </c>
      <c r="P135" s="56">
        <v>1000</v>
      </c>
      <c r="Q135" s="56">
        <v>1000</v>
      </c>
      <c r="R135" s="56">
        <v>1000</v>
      </c>
      <c r="S135" s="56">
        <v>1000</v>
      </c>
      <c r="T135" s="56">
        <v>1000</v>
      </c>
      <c r="U135" s="56">
        <v>1000</v>
      </c>
      <c r="V135" s="56">
        <v>1000</v>
      </c>
      <c r="W135" s="56">
        <v>1000</v>
      </c>
      <c r="X135" s="56">
        <v>1000</v>
      </c>
      <c r="Y135" s="56">
        <v>1000</v>
      </c>
      <c r="Z135" s="56">
        <v>1000</v>
      </c>
      <c r="AA135" s="56">
        <v>1000</v>
      </c>
      <c r="AB135" s="56">
        <v>1000</v>
      </c>
      <c r="AC135" s="56">
        <v>1000</v>
      </c>
      <c r="AD135" s="56">
        <v>1000</v>
      </c>
      <c r="AE135" s="56">
        <v>1000</v>
      </c>
      <c r="AF135" s="56">
        <v>1000</v>
      </c>
      <c r="AG135" s="56">
        <v>1000</v>
      </c>
      <c r="AH135" s="56">
        <v>1000</v>
      </c>
    </row>
    <row r="136" spans="1:34" s="57" customFormat="1" ht="15" customHeight="1" x14ac:dyDescent="0.2">
      <c r="A136" s="58"/>
      <c r="B136" s="54" t="s">
        <v>83</v>
      </c>
      <c r="C136" s="58"/>
      <c r="D136" s="56">
        <f>SUM($E$136:$AH$136)</f>
        <v>999999.99999999988</v>
      </c>
      <c r="E136" s="56">
        <v>22191.385544319714</v>
      </c>
      <c r="F136" s="56">
        <v>1486.5060196333106</v>
      </c>
      <c r="G136" s="56">
        <v>10222.786256452244</v>
      </c>
      <c r="H136" s="56">
        <v>1485.52088391707</v>
      </c>
      <c r="I136" s="56">
        <v>555.09998016155987</v>
      </c>
      <c r="J136" s="56">
        <v>0</v>
      </c>
      <c r="K136" s="56">
        <v>59641.432257286782</v>
      </c>
      <c r="L136" s="56">
        <v>214.07372821709657</v>
      </c>
      <c r="M136" s="56">
        <v>205805.44558331463</v>
      </c>
      <c r="N136" s="56">
        <v>46933.144632965785</v>
      </c>
      <c r="O136" s="56">
        <v>6526.3018250744417</v>
      </c>
      <c r="P136" s="56">
        <v>1701.31580119154</v>
      </c>
      <c r="Q136" s="56">
        <v>10293.525106083966</v>
      </c>
      <c r="R136" s="56">
        <v>41186.546027081138</v>
      </c>
      <c r="S136" s="56">
        <v>8250.1976969018833</v>
      </c>
      <c r="T136" s="56">
        <v>842.36097256545872</v>
      </c>
      <c r="U136" s="56">
        <v>333.12476063310208</v>
      </c>
      <c r="V136" s="56">
        <v>129.43444432365951</v>
      </c>
      <c r="W136" s="56">
        <v>550546.66732683557</v>
      </c>
      <c r="X136" s="56">
        <v>4111.723790749239</v>
      </c>
      <c r="Y136" s="56">
        <v>4805.7253115004096</v>
      </c>
      <c r="Z136" s="56">
        <v>509.18863271236324</v>
      </c>
      <c r="AA136" s="56">
        <v>1731.8594604702525</v>
      </c>
      <c r="AB136" s="56">
        <v>204.54162281083549</v>
      </c>
      <c r="AC136" s="56">
        <v>66.643893473983681</v>
      </c>
      <c r="AD136" s="56">
        <v>588.58367683934057</v>
      </c>
      <c r="AE136" s="56">
        <v>7912.2468801878094</v>
      </c>
      <c r="AF136" s="56">
        <v>73.194638992401792</v>
      </c>
      <c r="AG136" s="56">
        <v>0</v>
      </c>
      <c r="AH136" s="56">
        <v>11651.423245304268</v>
      </c>
    </row>
    <row r="137" spans="1:34" ht="15" customHeight="1" x14ac:dyDescent="0.2">
      <c r="D137" s="8"/>
      <c r="E137" s="52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</row>
    <row r="138" spans="1:34" ht="15" customHeight="1" x14ac:dyDescent="0.2">
      <c r="D138" s="53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</row>
    <row r="139" spans="1:34" ht="15" customHeight="1" x14ac:dyDescent="0.2"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</row>
    <row r="140" spans="1:34" ht="15" customHeight="1" x14ac:dyDescent="0.2"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</row>
    <row r="141" spans="1:34" s="36" customFormat="1" ht="15" customHeight="1" x14ac:dyDescent="0.2">
      <c r="A141" s="33" t="s">
        <v>84</v>
      </c>
      <c r="B141" s="34" t="s">
        <v>85</v>
      </c>
      <c r="C141" s="34" t="s">
        <v>37</v>
      </c>
      <c r="D141" s="35">
        <f>SUM(E141:AH141)</f>
        <v>20975953.600000001</v>
      </c>
      <c r="E141" s="35">
        <v>442576</v>
      </c>
      <c r="F141" s="35">
        <v>28711</v>
      </c>
      <c r="G141" s="35">
        <v>248863</v>
      </c>
      <c r="H141" s="35">
        <v>32252</v>
      </c>
      <c r="I141" s="35">
        <v>13922</v>
      </c>
      <c r="J141" s="35">
        <v>0</v>
      </c>
      <c r="K141" s="35">
        <v>1319919</v>
      </c>
      <c r="L141" s="35">
        <v>4166</v>
      </c>
      <c r="M141" s="35">
        <v>4225289</v>
      </c>
      <c r="N141" s="35">
        <v>976884</v>
      </c>
      <c r="O141" s="35">
        <v>141363</v>
      </c>
      <c r="P141" s="35">
        <v>47688</v>
      </c>
      <c r="Q141" s="35">
        <v>197991</v>
      </c>
      <c r="R141" s="35">
        <v>808737</v>
      </c>
      <c r="S141" s="35">
        <v>173061</v>
      </c>
      <c r="T141" s="35">
        <v>19189</v>
      </c>
      <c r="U141" s="35">
        <v>27402</v>
      </c>
      <c r="V141" s="35">
        <v>11463</v>
      </c>
      <c r="W141" s="35">
        <v>11273195</v>
      </c>
      <c r="X141" s="35">
        <v>101172</v>
      </c>
      <c r="Y141" s="35">
        <v>126471</v>
      </c>
      <c r="Z141" s="35">
        <v>18249</v>
      </c>
      <c r="AA141" s="35">
        <v>137726</v>
      </c>
      <c r="AB141" s="35">
        <v>3965</v>
      </c>
      <c r="AC141" s="35">
        <v>2711</v>
      </c>
      <c r="AD141" s="35">
        <v>81500</v>
      </c>
      <c r="AE141" s="35">
        <v>185543.6</v>
      </c>
      <c r="AF141" s="35">
        <v>1361</v>
      </c>
      <c r="AG141" s="35">
        <v>75000</v>
      </c>
      <c r="AH141" s="35">
        <v>249584</v>
      </c>
    </row>
    <row r="142" spans="1:34" s="36" customFormat="1" ht="15" customHeight="1" x14ac:dyDescent="0.2">
      <c r="A142" s="37"/>
      <c r="B142" s="34" t="s">
        <v>86</v>
      </c>
      <c r="C142" s="34" t="s">
        <v>37</v>
      </c>
      <c r="D142" s="35"/>
      <c r="E142" s="35">
        <v>0</v>
      </c>
      <c r="F142" s="35">
        <v>0</v>
      </c>
      <c r="G142" s="35">
        <v>0</v>
      </c>
      <c r="H142" s="35">
        <v>0</v>
      </c>
      <c r="I142" s="35">
        <v>0</v>
      </c>
      <c r="J142" s="35">
        <v>0</v>
      </c>
      <c r="K142" s="35">
        <v>0</v>
      </c>
      <c r="L142" s="35">
        <v>0</v>
      </c>
      <c r="M142" s="35">
        <v>0</v>
      </c>
      <c r="N142" s="35">
        <v>0</v>
      </c>
      <c r="O142" s="35">
        <v>0</v>
      </c>
      <c r="P142" s="35">
        <v>0</v>
      </c>
      <c r="Q142" s="35">
        <v>0</v>
      </c>
      <c r="R142" s="35">
        <v>0</v>
      </c>
      <c r="S142" s="35">
        <v>0</v>
      </c>
      <c r="T142" s="35">
        <v>0</v>
      </c>
      <c r="U142" s="35">
        <v>0</v>
      </c>
      <c r="V142" s="35">
        <v>0</v>
      </c>
      <c r="W142" s="35">
        <v>0</v>
      </c>
      <c r="X142" s="35">
        <v>0</v>
      </c>
      <c r="Y142" s="35">
        <v>0</v>
      </c>
      <c r="Z142" s="35">
        <v>0</v>
      </c>
      <c r="AA142" s="35">
        <v>0</v>
      </c>
      <c r="AB142" s="35">
        <v>0</v>
      </c>
      <c r="AC142" s="35">
        <v>0</v>
      </c>
      <c r="AD142" s="35">
        <v>0</v>
      </c>
      <c r="AE142" s="35">
        <v>0</v>
      </c>
      <c r="AF142" s="35">
        <v>0</v>
      </c>
      <c r="AG142" s="35">
        <v>0</v>
      </c>
      <c r="AH142" s="35">
        <v>0</v>
      </c>
    </row>
    <row r="143" spans="1:34" s="36" customFormat="1" ht="15" customHeight="1" x14ac:dyDescent="0.2">
      <c r="A143" s="37"/>
      <c r="B143" s="34" t="s">
        <v>45</v>
      </c>
      <c r="C143" s="34" t="s">
        <v>42</v>
      </c>
      <c r="D143" s="35"/>
      <c r="E143" s="35">
        <v>0.35726598783999997</v>
      </c>
      <c r="F143" s="35">
        <v>4.4174807999999999E-3</v>
      </c>
      <c r="G143" s="35">
        <v>0</v>
      </c>
      <c r="H143" s="35">
        <v>0.15010762075</v>
      </c>
      <c r="I143" s="35">
        <v>0.47466862262000004</v>
      </c>
      <c r="J143" s="35">
        <v>0</v>
      </c>
      <c r="K143" s="35">
        <v>0</v>
      </c>
      <c r="L143" s="35">
        <v>0</v>
      </c>
      <c r="M143" s="35">
        <v>2.4434712500000003E-3</v>
      </c>
      <c r="N143" s="35">
        <v>3.878081546E-2</v>
      </c>
      <c r="O143" s="35">
        <v>0.26759176643999999</v>
      </c>
      <c r="P143" s="35">
        <v>0</v>
      </c>
      <c r="Q143" s="35">
        <v>1.0392828200000001E-2</v>
      </c>
      <c r="R143" s="35">
        <v>3.4253993199999999E-2</v>
      </c>
      <c r="S143" s="35">
        <v>0.32651814295000003</v>
      </c>
      <c r="T143" s="35">
        <v>1</v>
      </c>
      <c r="U143" s="35">
        <v>0</v>
      </c>
      <c r="V143" s="35">
        <v>0.26449250065000002</v>
      </c>
      <c r="W143" s="35">
        <v>0</v>
      </c>
      <c r="X143" s="35">
        <v>2.2401397899999998E-3</v>
      </c>
      <c r="Y143" s="35">
        <v>0.10973193984</v>
      </c>
      <c r="Z143" s="35">
        <v>0.40518035021999999</v>
      </c>
      <c r="AA143" s="35">
        <v>0</v>
      </c>
      <c r="AB143" s="35">
        <v>0</v>
      </c>
      <c r="AC143" s="35">
        <v>1</v>
      </c>
      <c r="AD143" s="35">
        <v>0</v>
      </c>
      <c r="AE143" s="35">
        <v>0</v>
      </c>
      <c r="AF143" s="35">
        <v>0</v>
      </c>
      <c r="AG143" s="35">
        <v>0</v>
      </c>
      <c r="AH143" s="35">
        <v>0</v>
      </c>
    </row>
    <row r="144" spans="1:34" s="36" customFormat="1" ht="15" customHeight="1" x14ac:dyDescent="0.2">
      <c r="A144" s="37"/>
      <c r="B144" s="34" t="s">
        <v>46</v>
      </c>
      <c r="C144" s="34" t="s">
        <v>42</v>
      </c>
      <c r="D144" s="35"/>
      <c r="E144" s="35">
        <v>1.056127373</v>
      </c>
      <c r="F144" s="35">
        <v>1.056127373</v>
      </c>
      <c r="G144" s="35">
        <v>1.056127373</v>
      </c>
      <c r="H144" s="35">
        <v>1.056127373</v>
      </c>
      <c r="I144" s="35">
        <v>1.056127373</v>
      </c>
      <c r="J144" s="35">
        <v>1.056127373</v>
      </c>
      <c r="K144" s="35">
        <v>1.056127373</v>
      </c>
      <c r="L144" s="35">
        <v>1.056127373</v>
      </c>
      <c r="M144" s="35">
        <v>1.056127373</v>
      </c>
      <c r="N144" s="35">
        <v>1.056127373</v>
      </c>
      <c r="O144" s="35">
        <v>1.056127373</v>
      </c>
      <c r="P144" s="35">
        <v>1.056127373</v>
      </c>
      <c r="Q144" s="35">
        <v>1.056127373</v>
      </c>
      <c r="R144" s="35">
        <v>1.056127373</v>
      </c>
      <c r="S144" s="35">
        <v>1.056127373</v>
      </c>
      <c r="T144" s="35">
        <v>1.056127373</v>
      </c>
      <c r="U144" s="35">
        <v>1.056127373</v>
      </c>
      <c r="V144" s="35">
        <v>1.056127373</v>
      </c>
      <c r="W144" s="35">
        <v>1.056127373</v>
      </c>
      <c r="X144" s="35">
        <v>1.056127373</v>
      </c>
      <c r="Y144" s="35">
        <v>1.056127373</v>
      </c>
      <c r="Z144" s="35">
        <v>1.056127373</v>
      </c>
      <c r="AA144" s="35">
        <v>1.056127373</v>
      </c>
      <c r="AB144" s="35">
        <v>1.056127373</v>
      </c>
      <c r="AC144" s="35">
        <v>1.056127373</v>
      </c>
      <c r="AD144" s="35">
        <v>1.056127373</v>
      </c>
      <c r="AE144" s="35">
        <v>1.056127373</v>
      </c>
      <c r="AF144" s="35">
        <v>1.056127373</v>
      </c>
      <c r="AG144" s="35">
        <v>1.056127373</v>
      </c>
      <c r="AH144" s="35">
        <v>1.056127373</v>
      </c>
    </row>
    <row r="145" spans="1:34" s="36" customFormat="1" ht="15" customHeight="1" x14ac:dyDescent="0.2">
      <c r="A145" s="37"/>
      <c r="B145" s="33" t="s">
        <v>87</v>
      </c>
      <c r="C145" s="37"/>
      <c r="D145" s="35">
        <f>SUM($E$145:$AH$145)</f>
        <v>410229.83473956992</v>
      </c>
      <c r="E145" s="35">
        <v>166992.06341845045</v>
      </c>
      <c r="F145" s="35">
        <v>133.94894231342002</v>
      </c>
      <c r="G145" s="35">
        <v>0</v>
      </c>
      <c r="H145" s="35">
        <v>5112.9988067661243</v>
      </c>
      <c r="I145" s="35">
        <v>6979.2451353592978</v>
      </c>
      <c r="J145" s="35">
        <v>0</v>
      </c>
      <c r="K145" s="35">
        <v>0</v>
      </c>
      <c r="L145" s="35">
        <v>0</v>
      </c>
      <c r="M145" s="35">
        <v>10903.852083589485</v>
      </c>
      <c r="N145" s="35">
        <v>40010.707629445002</v>
      </c>
      <c r="O145" s="35">
        <v>39950.737284191251</v>
      </c>
      <c r="P145" s="35">
        <v>0</v>
      </c>
      <c r="Q145" s="35">
        <v>2173.1789829383474</v>
      </c>
      <c r="R145" s="35">
        <v>29257.338660637015</v>
      </c>
      <c r="S145" s="35">
        <v>59679.177028919192</v>
      </c>
      <c r="T145" s="35">
        <v>20266.028160497</v>
      </c>
      <c r="U145" s="35">
        <v>0</v>
      </c>
      <c r="V145" s="35">
        <v>3202.048856245463</v>
      </c>
      <c r="W145" s="35">
        <v>0</v>
      </c>
      <c r="X145" s="35">
        <v>239.36009825578191</v>
      </c>
      <c r="Y145" s="35">
        <v>14656.838691457411</v>
      </c>
      <c r="Z145" s="35">
        <v>7809.1496523016322</v>
      </c>
      <c r="AA145" s="35">
        <v>0</v>
      </c>
      <c r="AB145" s="35">
        <v>0</v>
      </c>
      <c r="AC145" s="35">
        <v>2863.1613082030003</v>
      </c>
      <c r="AD145" s="35">
        <v>0</v>
      </c>
      <c r="AE145" s="35">
        <v>0</v>
      </c>
      <c r="AF145" s="35">
        <v>0</v>
      </c>
      <c r="AG145" s="35">
        <v>0</v>
      </c>
      <c r="AH145" s="35">
        <v>0</v>
      </c>
    </row>
    <row r="146" spans="1:34" s="36" customFormat="1" ht="15" customHeight="1" x14ac:dyDescent="0.2">
      <c r="A146" s="37"/>
      <c r="B146" s="37"/>
      <c r="C146" s="37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</row>
    <row r="147" spans="1:34" s="36" customFormat="1" ht="15" customHeight="1" x14ac:dyDescent="0.2">
      <c r="A147" s="37"/>
      <c r="B147" s="34" t="s">
        <v>85</v>
      </c>
      <c r="C147" s="34" t="s">
        <v>37</v>
      </c>
      <c r="D147" s="35"/>
      <c r="E147" s="35">
        <v>442576</v>
      </c>
      <c r="F147" s="35">
        <v>28711</v>
      </c>
      <c r="G147" s="35">
        <v>248863</v>
      </c>
      <c r="H147" s="35">
        <v>32252</v>
      </c>
      <c r="I147" s="35">
        <v>13922</v>
      </c>
      <c r="J147" s="35">
        <v>0</v>
      </c>
      <c r="K147" s="35">
        <v>1319919</v>
      </c>
      <c r="L147" s="35">
        <v>4166</v>
      </c>
      <c r="M147" s="35">
        <v>4225289</v>
      </c>
      <c r="N147" s="35">
        <v>976884</v>
      </c>
      <c r="O147" s="35">
        <v>141363</v>
      </c>
      <c r="P147" s="35">
        <v>47688</v>
      </c>
      <c r="Q147" s="35">
        <v>197991</v>
      </c>
      <c r="R147" s="35">
        <v>808737</v>
      </c>
      <c r="S147" s="35">
        <v>173061</v>
      </c>
      <c r="T147" s="35">
        <v>19189</v>
      </c>
      <c r="U147" s="35">
        <v>27402</v>
      </c>
      <c r="V147" s="35">
        <v>11463</v>
      </c>
      <c r="W147" s="35">
        <v>11273195</v>
      </c>
      <c r="X147" s="35">
        <v>101172</v>
      </c>
      <c r="Y147" s="35">
        <v>126471</v>
      </c>
      <c r="Z147" s="35">
        <v>18249</v>
      </c>
      <c r="AA147" s="35">
        <v>137726</v>
      </c>
      <c r="AB147" s="35">
        <v>3965</v>
      </c>
      <c r="AC147" s="35">
        <v>2711</v>
      </c>
      <c r="AD147" s="35">
        <v>81500</v>
      </c>
      <c r="AE147" s="35">
        <v>185543.6</v>
      </c>
      <c r="AF147" s="35">
        <v>1361</v>
      </c>
      <c r="AG147" s="35">
        <v>75000</v>
      </c>
      <c r="AH147" s="35">
        <v>249584</v>
      </c>
    </row>
    <row r="148" spans="1:34" s="36" customFormat="1" ht="15" customHeight="1" x14ac:dyDescent="0.2">
      <c r="A148" s="37"/>
      <c r="B148" s="34" t="s">
        <v>86</v>
      </c>
      <c r="C148" s="34" t="s">
        <v>37</v>
      </c>
      <c r="D148" s="35"/>
      <c r="E148" s="35">
        <v>0</v>
      </c>
      <c r="F148" s="35">
        <v>0</v>
      </c>
      <c r="G148" s="35">
        <v>0</v>
      </c>
      <c r="H148" s="35">
        <v>0</v>
      </c>
      <c r="I148" s="35">
        <v>0</v>
      </c>
      <c r="J148" s="35">
        <v>0</v>
      </c>
      <c r="K148" s="35">
        <v>0</v>
      </c>
      <c r="L148" s="35">
        <v>0</v>
      </c>
      <c r="M148" s="35">
        <v>0</v>
      </c>
      <c r="N148" s="35">
        <v>0</v>
      </c>
      <c r="O148" s="35">
        <v>0</v>
      </c>
      <c r="P148" s="35">
        <v>0</v>
      </c>
      <c r="Q148" s="35">
        <v>0</v>
      </c>
      <c r="R148" s="35">
        <v>0</v>
      </c>
      <c r="S148" s="35">
        <v>0</v>
      </c>
      <c r="T148" s="35">
        <v>0</v>
      </c>
      <c r="U148" s="35">
        <v>0</v>
      </c>
      <c r="V148" s="35">
        <v>0</v>
      </c>
      <c r="W148" s="35">
        <v>0</v>
      </c>
      <c r="X148" s="35">
        <v>0</v>
      </c>
      <c r="Y148" s="35">
        <v>0</v>
      </c>
      <c r="Z148" s="35">
        <v>0</v>
      </c>
      <c r="AA148" s="35">
        <v>0</v>
      </c>
      <c r="AB148" s="35">
        <v>0</v>
      </c>
      <c r="AC148" s="35">
        <v>0</v>
      </c>
      <c r="AD148" s="35">
        <v>0</v>
      </c>
      <c r="AE148" s="35">
        <v>0</v>
      </c>
      <c r="AF148" s="35">
        <v>0</v>
      </c>
      <c r="AG148" s="35">
        <v>0</v>
      </c>
      <c r="AH148" s="35">
        <v>0</v>
      </c>
    </row>
    <row r="149" spans="1:34" s="36" customFormat="1" ht="15" customHeight="1" x14ac:dyDescent="0.2">
      <c r="A149" s="37"/>
      <c r="B149" s="34" t="s">
        <v>48</v>
      </c>
      <c r="C149" s="34" t="s">
        <v>42</v>
      </c>
      <c r="D149" s="35"/>
      <c r="E149" s="35">
        <v>0.64273401215000003</v>
      </c>
      <c r="F149" s="35">
        <v>0.99558251918999996</v>
      </c>
      <c r="G149" s="35">
        <v>0</v>
      </c>
      <c r="H149" s="35">
        <v>0.84989237924000005</v>
      </c>
      <c r="I149" s="35">
        <v>0.52533137737000002</v>
      </c>
      <c r="J149" s="35">
        <v>0</v>
      </c>
      <c r="K149" s="35">
        <v>1</v>
      </c>
      <c r="L149" s="35">
        <v>1</v>
      </c>
      <c r="M149" s="35">
        <v>0.99755652874</v>
      </c>
      <c r="N149" s="35">
        <v>0.96121918452999999</v>
      </c>
      <c r="O149" s="35">
        <v>0.73240823354999995</v>
      </c>
      <c r="P149" s="35">
        <v>0</v>
      </c>
      <c r="Q149" s="35">
        <v>0.98960717179000002</v>
      </c>
      <c r="R149" s="35">
        <v>0.96574600679</v>
      </c>
      <c r="S149" s="35">
        <v>0.67348185703999996</v>
      </c>
      <c r="T149" s="35">
        <v>0</v>
      </c>
      <c r="U149" s="35">
        <v>1</v>
      </c>
      <c r="V149" s="35">
        <v>0.73550749934000004</v>
      </c>
      <c r="W149" s="35">
        <v>1</v>
      </c>
      <c r="X149" s="35">
        <v>0.99775986019999996</v>
      </c>
      <c r="Y149" s="35">
        <v>0.89026806015000004</v>
      </c>
      <c r="Z149" s="35">
        <v>0.59481964977000001</v>
      </c>
      <c r="AA149" s="35">
        <v>1</v>
      </c>
      <c r="AB149" s="35">
        <v>1</v>
      </c>
      <c r="AC149" s="35">
        <v>0</v>
      </c>
      <c r="AD149" s="35">
        <v>0</v>
      </c>
      <c r="AE149" s="35">
        <v>0</v>
      </c>
      <c r="AF149" s="35">
        <v>0</v>
      </c>
      <c r="AG149" s="35">
        <v>0</v>
      </c>
      <c r="AH149" s="35">
        <v>0</v>
      </c>
    </row>
    <row r="150" spans="1:34" s="36" customFormat="1" ht="15" customHeight="1" x14ac:dyDescent="0.2">
      <c r="A150" s="37"/>
      <c r="B150" s="34" t="s">
        <v>49</v>
      </c>
      <c r="C150" s="34" t="s">
        <v>42</v>
      </c>
      <c r="D150" s="35"/>
      <c r="E150" s="35">
        <v>1.0857752949999999</v>
      </c>
      <c r="F150" s="35">
        <v>1.0857752949999999</v>
      </c>
      <c r="G150" s="35">
        <v>1.0857752949999999</v>
      </c>
      <c r="H150" s="35">
        <v>1.0857752949999999</v>
      </c>
      <c r="I150" s="35">
        <v>1.0857752949999999</v>
      </c>
      <c r="J150" s="35">
        <v>1.0857752949999999</v>
      </c>
      <c r="K150" s="35">
        <v>1.0857752949999999</v>
      </c>
      <c r="L150" s="35">
        <v>1.0857752949999999</v>
      </c>
      <c r="M150" s="35">
        <v>1.0857752949999999</v>
      </c>
      <c r="N150" s="35">
        <v>1.0857752949999999</v>
      </c>
      <c r="O150" s="35">
        <v>1.0857752949999999</v>
      </c>
      <c r="P150" s="35">
        <v>1.0857752949999999</v>
      </c>
      <c r="Q150" s="35">
        <v>1.0857752949999999</v>
      </c>
      <c r="R150" s="35">
        <v>1.0857752949999999</v>
      </c>
      <c r="S150" s="35">
        <v>1.0857752949999999</v>
      </c>
      <c r="T150" s="35">
        <v>1.0857752949999999</v>
      </c>
      <c r="U150" s="35">
        <v>1.0857752949999999</v>
      </c>
      <c r="V150" s="35">
        <v>1.056127373</v>
      </c>
      <c r="W150" s="35">
        <v>1.0857752949999999</v>
      </c>
      <c r="X150" s="35">
        <v>1.0857752949999999</v>
      </c>
      <c r="Y150" s="35">
        <v>1.0857752949999999</v>
      </c>
      <c r="Z150" s="35">
        <v>1.0857752949999999</v>
      </c>
      <c r="AA150" s="35">
        <v>1.0857752949999999</v>
      </c>
      <c r="AB150" s="35">
        <v>1.0857752949999999</v>
      </c>
      <c r="AC150" s="35">
        <v>1.0857752949999999</v>
      </c>
      <c r="AD150" s="35">
        <v>1.0857752949999999</v>
      </c>
      <c r="AE150" s="35">
        <v>1.0857752949999999</v>
      </c>
      <c r="AF150" s="35">
        <v>1.0857752949999999</v>
      </c>
      <c r="AG150" s="35">
        <v>1.0857752949999999</v>
      </c>
      <c r="AH150" s="35">
        <v>1.0857752949999999</v>
      </c>
    </row>
    <row r="151" spans="1:34" s="36" customFormat="1" ht="15" customHeight="1" x14ac:dyDescent="0.2">
      <c r="A151" s="37"/>
      <c r="B151" s="33" t="s">
        <v>88</v>
      </c>
      <c r="C151" s="37"/>
      <c r="D151" s="35">
        <f>SUM($E$151:$AH$151)</f>
        <v>21387336.192225184</v>
      </c>
      <c r="E151" s="35">
        <v>308858.17262263497</v>
      </c>
      <c r="F151" s="35">
        <v>31035.985297537656</v>
      </c>
      <c r="G151" s="35">
        <v>0</v>
      </c>
      <c r="H151" s="35">
        <v>29761.892382696478</v>
      </c>
      <c r="I151" s="35">
        <v>7940.995074476893</v>
      </c>
      <c r="J151" s="35">
        <v>0</v>
      </c>
      <c r="K151" s="35">
        <v>1433135.4416011048</v>
      </c>
      <c r="L151" s="35">
        <v>4523.3398789699995</v>
      </c>
      <c r="M151" s="35">
        <v>4576504.4621242685</v>
      </c>
      <c r="N151" s="35">
        <v>1019542.6131458749</v>
      </c>
      <c r="O151" s="35">
        <v>112416.20675188946</v>
      </c>
      <c r="P151" s="35">
        <v>0</v>
      </c>
      <c r="Q151" s="35">
        <v>212739.55131994179</v>
      </c>
      <c r="R151" s="35">
        <v>848027.99536286993</v>
      </c>
      <c r="S151" s="35">
        <v>126550.84967450469</v>
      </c>
      <c r="T151" s="35">
        <v>0</v>
      </c>
      <c r="U151" s="35">
        <v>29752.414633589997</v>
      </c>
      <c r="V151" s="35">
        <v>8904.3392203324747</v>
      </c>
      <c r="W151" s="35">
        <v>12240156.626717525</v>
      </c>
      <c r="X151" s="35">
        <v>109603.97865845541</v>
      </c>
      <c r="Y151" s="35">
        <v>122250.79750235965</v>
      </c>
      <c r="Z151" s="35">
        <v>11785.942932309235</v>
      </c>
      <c r="AA151" s="35">
        <v>149539.48827916998</v>
      </c>
      <c r="AB151" s="35">
        <v>4305.0990446749993</v>
      </c>
      <c r="AC151" s="35">
        <v>0</v>
      </c>
      <c r="AD151" s="35">
        <v>0</v>
      </c>
      <c r="AE151" s="35">
        <v>0</v>
      </c>
      <c r="AF151" s="35">
        <v>0</v>
      </c>
      <c r="AG151" s="35">
        <v>0</v>
      </c>
      <c r="AH151" s="35">
        <v>0</v>
      </c>
    </row>
    <row r="152" spans="1:34" s="36" customFormat="1" ht="15" customHeight="1" x14ac:dyDescent="0.2">
      <c r="A152" s="37"/>
      <c r="B152" s="37"/>
      <c r="C152" s="37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</row>
    <row r="153" spans="1:34" s="36" customFormat="1" ht="15" customHeight="1" x14ac:dyDescent="0.2">
      <c r="A153" s="37"/>
      <c r="B153" s="34" t="s">
        <v>87</v>
      </c>
      <c r="C153" s="34" t="s">
        <v>37</v>
      </c>
      <c r="D153" s="35"/>
      <c r="E153" s="35">
        <v>166992.06341845045</v>
      </c>
      <c r="F153" s="35">
        <v>133.94894231342002</v>
      </c>
      <c r="G153" s="35">
        <v>0</v>
      </c>
      <c r="H153" s="35">
        <v>5112.9988067661243</v>
      </c>
      <c r="I153" s="35">
        <v>6979.2451353592978</v>
      </c>
      <c r="J153" s="35">
        <v>0</v>
      </c>
      <c r="K153" s="35">
        <v>0</v>
      </c>
      <c r="L153" s="35">
        <v>0</v>
      </c>
      <c r="M153" s="35">
        <v>10903.852083589485</v>
      </c>
      <c r="N153" s="35">
        <v>40010.707629445002</v>
      </c>
      <c r="O153" s="35">
        <v>39950.737284191251</v>
      </c>
      <c r="P153" s="35">
        <v>0</v>
      </c>
      <c r="Q153" s="35">
        <v>2173.1789829383474</v>
      </c>
      <c r="R153" s="35">
        <v>29257.338660637015</v>
      </c>
      <c r="S153" s="35">
        <v>59679.177028919192</v>
      </c>
      <c r="T153" s="35">
        <v>20266.028160497</v>
      </c>
      <c r="U153" s="35">
        <v>0</v>
      </c>
      <c r="V153" s="35">
        <v>3202.048856245463</v>
      </c>
      <c r="W153" s="35">
        <v>0</v>
      </c>
      <c r="X153" s="35">
        <v>239.36009825578191</v>
      </c>
      <c r="Y153" s="35">
        <v>14656.838691457411</v>
      </c>
      <c r="Z153" s="35">
        <v>7809.1496523016322</v>
      </c>
      <c r="AA153" s="35">
        <v>0</v>
      </c>
      <c r="AB153" s="35">
        <v>0</v>
      </c>
      <c r="AC153" s="35">
        <v>2863.1613082030003</v>
      </c>
      <c r="AD153" s="35">
        <v>0</v>
      </c>
      <c r="AE153" s="35">
        <v>0</v>
      </c>
      <c r="AF153" s="35">
        <v>0</v>
      </c>
      <c r="AG153" s="35">
        <v>0</v>
      </c>
      <c r="AH153" s="35">
        <v>0</v>
      </c>
    </row>
    <row r="154" spans="1:34" s="36" customFormat="1" ht="15" customHeight="1" x14ac:dyDescent="0.2">
      <c r="A154" s="37"/>
      <c r="B154" s="34" t="s">
        <v>88</v>
      </c>
      <c r="C154" s="34" t="s">
        <v>37</v>
      </c>
      <c r="D154" s="35"/>
      <c r="E154" s="35">
        <v>308858.17262263497</v>
      </c>
      <c r="F154" s="35">
        <v>31035.985297537656</v>
      </c>
      <c r="G154" s="35">
        <v>0</v>
      </c>
      <c r="H154" s="35">
        <v>29761.892382696478</v>
      </c>
      <c r="I154" s="35">
        <v>7940.995074476893</v>
      </c>
      <c r="J154" s="35">
        <v>0</v>
      </c>
      <c r="K154" s="35">
        <v>1433135.4416011048</v>
      </c>
      <c r="L154" s="35">
        <v>4523.3398789699995</v>
      </c>
      <c r="M154" s="35">
        <v>4576504.4621242685</v>
      </c>
      <c r="N154" s="35">
        <v>1019542.6131458749</v>
      </c>
      <c r="O154" s="35">
        <v>112416.20675188946</v>
      </c>
      <c r="P154" s="35">
        <v>0</v>
      </c>
      <c r="Q154" s="35">
        <v>212739.55131994179</v>
      </c>
      <c r="R154" s="35">
        <v>848027.99536286993</v>
      </c>
      <c r="S154" s="35">
        <v>126550.84967450469</v>
      </c>
      <c r="T154" s="35">
        <v>0</v>
      </c>
      <c r="U154" s="35">
        <v>29752.414633589997</v>
      </c>
      <c r="V154" s="35">
        <v>8904.3392203324747</v>
      </c>
      <c r="W154" s="35">
        <v>12240156.626717525</v>
      </c>
      <c r="X154" s="35">
        <v>109603.97865845541</v>
      </c>
      <c r="Y154" s="35">
        <v>122250.79750235965</v>
      </c>
      <c r="Z154" s="35">
        <v>11785.942932309235</v>
      </c>
      <c r="AA154" s="35">
        <v>149539.48827916998</v>
      </c>
      <c r="AB154" s="35">
        <v>4305.0990446749993</v>
      </c>
      <c r="AC154" s="35">
        <v>0</v>
      </c>
      <c r="AD154" s="35">
        <v>0</v>
      </c>
      <c r="AE154" s="35">
        <v>0</v>
      </c>
      <c r="AF154" s="35">
        <v>0</v>
      </c>
      <c r="AG154" s="35">
        <v>0</v>
      </c>
      <c r="AH154" s="35">
        <v>0</v>
      </c>
    </row>
    <row r="155" spans="1:34" s="36" customFormat="1" ht="15" customHeight="1" x14ac:dyDescent="0.2">
      <c r="A155" s="37"/>
      <c r="B155" s="33" t="s">
        <v>89</v>
      </c>
      <c r="C155" s="37"/>
      <c r="D155" s="35">
        <f>SUM($E$155:$AH$155)</f>
        <v>21797566.026964754</v>
      </c>
      <c r="E155" s="35">
        <v>475850.23604108545</v>
      </c>
      <c r="F155" s="35">
        <v>31169.934239851074</v>
      </c>
      <c r="G155" s="35">
        <v>0</v>
      </c>
      <c r="H155" s="35">
        <v>34874.8911894626</v>
      </c>
      <c r="I155" s="35">
        <v>14920.240209836191</v>
      </c>
      <c r="J155" s="35">
        <v>0</v>
      </c>
      <c r="K155" s="35">
        <v>1433135.4416011048</v>
      </c>
      <c r="L155" s="35">
        <v>4523.3398789699995</v>
      </c>
      <c r="M155" s="35">
        <v>4587408.3142078584</v>
      </c>
      <c r="N155" s="35">
        <v>1059553.3207753198</v>
      </c>
      <c r="O155" s="35">
        <v>152366.94403608071</v>
      </c>
      <c r="P155" s="35">
        <v>0</v>
      </c>
      <c r="Q155" s="35">
        <v>214912.73030288014</v>
      </c>
      <c r="R155" s="35">
        <v>877285.33402350696</v>
      </c>
      <c r="S155" s="35">
        <v>186230.02670342388</v>
      </c>
      <c r="T155" s="35">
        <v>20266.028160497</v>
      </c>
      <c r="U155" s="35">
        <v>29752.414633589997</v>
      </c>
      <c r="V155" s="35">
        <v>12106.388076577938</v>
      </c>
      <c r="W155" s="35">
        <v>12240156.626717525</v>
      </c>
      <c r="X155" s="35">
        <v>109843.33875671119</v>
      </c>
      <c r="Y155" s="35">
        <v>136907.63619381707</v>
      </c>
      <c r="Z155" s="35">
        <v>19595.092584610866</v>
      </c>
      <c r="AA155" s="35">
        <v>149539.48827916998</v>
      </c>
      <c r="AB155" s="35">
        <v>4305.0990446749993</v>
      </c>
      <c r="AC155" s="35">
        <v>2863.1613082030003</v>
      </c>
      <c r="AD155" s="35">
        <v>0</v>
      </c>
      <c r="AE155" s="35">
        <v>0</v>
      </c>
      <c r="AF155" s="35">
        <v>0</v>
      </c>
      <c r="AG155" s="35">
        <v>0</v>
      </c>
      <c r="AH155" s="35">
        <v>0</v>
      </c>
    </row>
    <row r="156" spans="1:34" ht="15" customHeight="1" x14ac:dyDescent="0.2"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</row>
    <row r="157" spans="1:34" ht="15" customHeight="1" x14ac:dyDescent="0.2"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</row>
    <row r="158" spans="1:34" ht="15" customHeight="1" x14ac:dyDescent="0.2"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</row>
    <row r="159" spans="1:34" ht="15" customHeight="1" x14ac:dyDescent="0.2"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</row>
    <row r="160" spans="1:34" s="41" customFormat="1" ht="15" customHeight="1" x14ac:dyDescent="0.2">
      <c r="A160" s="38" t="s">
        <v>90</v>
      </c>
      <c r="B160" s="39" t="s">
        <v>36</v>
      </c>
      <c r="C160" s="39" t="s">
        <v>37</v>
      </c>
      <c r="D160" s="40"/>
      <c r="E160" s="40">
        <v>381842.0833</v>
      </c>
      <c r="F160" s="40">
        <v>25331.5</v>
      </c>
      <c r="G160" s="40">
        <v>183520.8333</v>
      </c>
      <c r="H160" s="40">
        <v>25415.833299999998</v>
      </c>
      <c r="I160" s="40">
        <v>9582.5</v>
      </c>
      <c r="J160" s="40">
        <v>0</v>
      </c>
      <c r="K160" s="40">
        <v>1016225.0833000001</v>
      </c>
      <c r="L160" s="40">
        <v>3647.5832999999998</v>
      </c>
      <c r="M160" s="40">
        <v>3506934.75</v>
      </c>
      <c r="N160" s="40">
        <v>800537.4166</v>
      </c>
      <c r="O160" s="40">
        <v>112019.5833</v>
      </c>
      <c r="P160" s="40">
        <v>30542.25</v>
      </c>
      <c r="Q160" s="40">
        <v>175440.25</v>
      </c>
      <c r="R160" s="40">
        <v>702430.9166</v>
      </c>
      <c r="S160" s="40">
        <v>141839</v>
      </c>
      <c r="T160" s="40">
        <v>14755.8333</v>
      </c>
      <c r="U160" s="40">
        <v>5676.0833000000002</v>
      </c>
      <c r="V160" s="40">
        <v>2267.3332999999998</v>
      </c>
      <c r="W160" s="40">
        <v>9380715.9166000001</v>
      </c>
      <c r="X160" s="40">
        <v>70063.583299999998</v>
      </c>
      <c r="Y160" s="40">
        <v>82130.416599999997</v>
      </c>
      <c r="Z160" s="40">
        <v>8773.0833000000002</v>
      </c>
      <c r="AA160" s="40">
        <v>29509</v>
      </c>
      <c r="AB160" s="40">
        <v>3485.1666</v>
      </c>
      <c r="AC160" s="40">
        <v>1167.4166</v>
      </c>
      <c r="AD160" s="40">
        <v>10566.3333</v>
      </c>
      <c r="AE160" s="40"/>
      <c r="AF160" s="40"/>
      <c r="AG160" s="40"/>
      <c r="AH160" s="40"/>
    </row>
    <row r="161" spans="1:34" s="41" customFormat="1" ht="15" customHeight="1" x14ac:dyDescent="0.2">
      <c r="A161" s="42"/>
      <c r="B161" s="39" t="s">
        <v>38</v>
      </c>
      <c r="C161" s="39" t="s">
        <v>37</v>
      </c>
      <c r="D161" s="40"/>
      <c r="E161" s="40">
        <v>0</v>
      </c>
      <c r="F161" s="40">
        <v>0</v>
      </c>
      <c r="G161" s="40">
        <v>0</v>
      </c>
      <c r="H161" s="40">
        <v>0</v>
      </c>
      <c r="I161" s="40">
        <v>0</v>
      </c>
      <c r="J161" s="40">
        <v>0</v>
      </c>
      <c r="K161" s="40">
        <v>0</v>
      </c>
      <c r="L161" s="40">
        <v>0</v>
      </c>
      <c r="M161" s="40">
        <v>0</v>
      </c>
      <c r="N161" s="40">
        <v>0</v>
      </c>
      <c r="O161" s="40">
        <v>0</v>
      </c>
      <c r="P161" s="40">
        <v>0</v>
      </c>
      <c r="Q161" s="40">
        <v>0</v>
      </c>
      <c r="R161" s="40">
        <v>0</v>
      </c>
      <c r="S161" s="40">
        <v>0</v>
      </c>
      <c r="T161" s="40">
        <v>0</v>
      </c>
      <c r="U161" s="40">
        <v>0</v>
      </c>
      <c r="V161" s="40">
        <v>0</v>
      </c>
      <c r="W161" s="40">
        <v>0</v>
      </c>
      <c r="X161" s="40">
        <v>0</v>
      </c>
      <c r="Y161" s="40">
        <v>0</v>
      </c>
      <c r="Z161" s="40">
        <v>0</v>
      </c>
      <c r="AA161" s="40">
        <v>0</v>
      </c>
      <c r="AB161" s="40">
        <v>0</v>
      </c>
      <c r="AC161" s="40">
        <v>0</v>
      </c>
      <c r="AD161" s="40">
        <v>0</v>
      </c>
      <c r="AE161" s="40"/>
      <c r="AF161" s="40"/>
      <c r="AG161" s="40"/>
      <c r="AH161" s="40"/>
    </row>
    <row r="162" spans="1:34" s="41" customFormat="1" ht="15" customHeight="1" x14ac:dyDescent="0.2">
      <c r="A162" s="42"/>
      <c r="B162" s="39" t="s">
        <v>41</v>
      </c>
      <c r="C162" s="39" t="s">
        <v>42</v>
      </c>
      <c r="D162" s="40"/>
      <c r="E162" s="40">
        <v>0</v>
      </c>
      <c r="F162" s="40">
        <v>0</v>
      </c>
      <c r="G162" s="40">
        <v>1</v>
      </c>
      <c r="H162" s="40">
        <v>0</v>
      </c>
      <c r="I162" s="40">
        <v>0</v>
      </c>
      <c r="J162" s="40">
        <v>1</v>
      </c>
      <c r="K162" s="40">
        <v>0</v>
      </c>
      <c r="L162" s="40">
        <v>0</v>
      </c>
      <c r="M162" s="40">
        <v>0</v>
      </c>
      <c r="N162" s="40">
        <v>0</v>
      </c>
      <c r="O162" s="40">
        <v>0</v>
      </c>
      <c r="P162" s="40">
        <v>1</v>
      </c>
      <c r="Q162" s="40">
        <v>0</v>
      </c>
      <c r="R162" s="40">
        <v>0</v>
      </c>
      <c r="S162" s="40">
        <v>0</v>
      </c>
      <c r="T162" s="40">
        <v>0</v>
      </c>
      <c r="U162" s="40">
        <v>0</v>
      </c>
      <c r="V162" s="40">
        <v>0</v>
      </c>
      <c r="W162" s="40">
        <v>0</v>
      </c>
      <c r="X162" s="40">
        <v>0</v>
      </c>
      <c r="Y162" s="40">
        <v>0</v>
      </c>
      <c r="Z162" s="40">
        <v>0</v>
      </c>
      <c r="AA162" s="40">
        <v>0</v>
      </c>
      <c r="AB162" s="40">
        <v>0</v>
      </c>
      <c r="AC162" s="40">
        <v>0</v>
      </c>
      <c r="AD162" s="40">
        <v>1</v>
      </c>
      <c r="AE162" s="40"/>
      <c r="AF162" s="40"/>
      <c r="AG162" s="40"/>
      <c r="AH162" s="40"/>
    </row>
    <row r="163" spans="1:34" s="41" customFormat="1" ht="15" customHeight="1" x14ac:dyDescent="0.2">
      <c r="A163" s="42"/>
      <c r="B163" s="39" t="s">
        <v>43</v>
      </c>
      <c r="C163" s="39" t="s">
        <v>42</v>
      </c>
      <c r="D163" s="40"/>
      <c r="E163" s="40">
        <v>1.0305420320000001</v>
      </c>
      <c r="F163" s="40">
        <v>1.0305420320000001</v>
      </c>
      <c r="G163" s="40">
        <v>1.0305420320000001</v>
      </c>
      <c r="H163" s="40">
        <v>1.0305420320000001</v>
      </c>
      <c r="I163" s="40">
        <v>1.0305420320000001</v>
      </c>
      <c r="J163" s="40">
        <v>1.0305420320000001</v>
      </c>
      <c r="K163" s="40">
        <v>1.0305420320000001</v>
      </c>
      <c r="L163" s="40">
        <v>1.0305420320000001</v>
      </c>
      <c r="M163" s="40">
        <v>1.0305420320000001</v>
      </c>
      <c r="N163" s="40">
        <v>1.0305420320000001</v>
      </c>
      <c r="O163" s="40">
        <v>1.0305420320000001</v>
      </c>
      <c r="P163" s="40">
        <v>1.0305420320000001</v>
      </c>
      <c r="Q163" s="40">
        <v>1.0305420320000001</v>
      </c>
      <c r="R163" s="40">
        <v>1.0305420320000001</v>
      </c>
      <c r="S163" s="40">
        <v>1.0305420320000001</v>
      </c>
      <c r="T163" s="40">
        <v>1.0305420320000001</v>
      </c>
      <c r="U163" s="40">
        <v>1.0305420320000001</v>
      </c>
      <c r="V163" s="40">
        <v>1.0305420320000001</v>
      </c>
      <c r="W163" s="40">
        <v>1.0305420320000001</v>
      </c>
      <c r="X163" s="40">
        <v>1.0305420320000001</v>
      </c>
      <c r="Y163" s="40">
        <v>1.0305420320000001</v>
      </c>
      <c r="Z163" s="40">
        <v>1.0305420320000001</v>
      </c>
      <c r="AA163" s="40">
        <v>1.0305420320000001</v>
      </c>
      <c r="AB163" s="40">
        <v>1.0305420320000001</v>
      </c>
      <c r="AC163" s="40">
        <v>1.0305420320000001</v>
      </c>
      <c r="AD163" s="40">
        <v>1.0305420320000001</v>
      </c>
      <c r="AE163" s="40"/>
      <c r="AF163" s="40"/>
      <c r="AG163" s="40"/>
      <c r="AH163" s="40"/>
    </row>
    <row r="164" spans="1:34" s="41" customFormat="1" ht="15" customHeight="1" x14ac:dyDescent="0.2">
      <c r="A164" s="42"/>
      <c r="B164" s="38" t="s">
        <v>44</v>
      </c>
      <c r="C164" s="42"/>
      <c r="D164" s="40">
        <f>SUM($E$164:$AH$164)</f>
        <v>231490.05542993857</v>
      </c>
      <c r="E164" s="40">
        <v>0</v>
      </c>
      <c r="F164" s="40">
        <v>0</v>
      </c>
      <c r="G164" s="40">
        <v>189125.93246331529</v>
      </c>
      <c r="H164" s="40">
        <v>0</v>
      </c>
      <c r="I164" s="40">
        <v>0</v>
      </c>
      <c r="J164" s="40">
        <v>0</v>
      </c>
      <c r="K164" s="40">
        <v>0</v>
      </c>
      <c r="L164" s="40">
        <v>0</v>
      </c>
      <c r="M164" s="40">
        <v>0</v>
      </c>
      <c r="N164" s="40">
        <v>0</v>
      </c>
      <c r="O164" s="40">
        <v>0</v>
      </c>
      <c r="P164" s="40">
        <v>31475.072376852</v>
      </c>
      <c r="Q164" s="40">
        <v>0</v>
      </c>
      <c r="R164" s="40">
        <v>0</v>
      </c>
      <c r="S164" s="40">
        <v>0</v>
      </c>
      <c r="T164" s="40">
        <v>0</v>
      </c>
      <c r="U164" s="40">
        <v>0</v>
      </c>
      <c r="V164" s="40">
        <v>0</v>
      </c>
      <c r="W164" s="40">
        <v>0</v>
      </c>
      <c r="X164" s="40">
        <v>0</v>
      </c>
      <c r="Y164" s="40">
        <v>0</v>
      </c>
      <c r="Z164" s="40">
        <v>0</v>
      </c>
      <c r="AA164" s="40">
        <v>0</v>
      </c>
      <c r="AB164" s="40">
        <v>0</v>
      </c>
      <c r="AC164" s="40">
        <v>0</v>
      </c>
      <c r="AD164" s="40">
        <v>10889.050589771266</v>
      </c>
      <c r="AE164" s="40"/>
      <c r="AF164" s="40"/>
      <c r="AG164" s="40"/>
      <c r="AH164" s="40"/>
    </row>
    <row r="165" spans="1:34" s="41" customFormat="1" ht="15" customHeight="1" x14ac:dyDescent="0.2">
      <c r="A165" s="42"/>
      <c r="B165" s="42"/>
      <c r="C165" s="42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</row>
    <row r="166" spans="1:34" s="41" customFormat="1" ht="15" customHeight="1" x14ac:dyDescent="0.2">
      <c r="A166" s="42"/>
      <c r="B166" s="39" t="s">
        <v>36</v>
      </c>
      <c r="C166" s="39" t="s">
        <v>37</v>
      </c>
      <c r="D166" s="40"/>
      <c r="E166" s="40">
        <v>381842.0833</v>
      </c>
      <c r="F166" s="40">
        <v>25331.5</v>
      </c>
      <c r="G166" s="40">
        <v>183520.8333</v>
      </c>
      <c r="H166" s="40">
        <v>25415.833299999998</v>
      </c>
      <c r="I166" s="40">
        <v>9582.5</v>
      </c>
      <c r="J166" s="40">
        <v>0</v>
      </c>
      <c r="K166" s="40">
        <v>1016225.0833000001</v>
      </c>
      <c r="L166" s="40">
        <v>3647.5832999999998</v>
      </c>
      <c r="M166" s="40">
        <v>3506934.75</v>
      </c>
      <c r="N166" s="40">
        <v>800537.4166</v>
      </c>
      <c r="O166" s="40">
        <v>112019.5833</v>
      </c>
      <c r="P166" s="40">
        <v>30542.25</v>
      </c>
      <c r="Q166" s="40">
        <v>175440.25</v>
      </c>
      <c r="R166" s="40">
        <v>702430.9166</v>
      </c>
      <c r="S166" s="40">
        <v>141839</v>
      </c>
      <c r="T166" s="40">
        <v>14755.8333</v>
      </c>
      <c r="U166" s="40">
        <v>5676.0833000000002</v>
      </c>
      <c r="V166" s="40">
        <v>2267.3332999999998</v>
      </c>
      <c r="W166" s="40">
        <v>9380715.9166000001</v>
      </c>
      <c r="X166" s="40">
        <v>70063.583299999998</v>
      </c>
      <c r="Y166" s="40">
        <v>82130.416599999997</v>
      </c>
      <c r="Z166" s="40">
        <v>8773.0833000000002</v>
      </c>
      <c r="AA166" s="40">
        <v>29509</v>
      </c>
      <c r="AB166" s="40">
        <v>3485.1666</v>
      </c>
      <c r="AC166" s="40">
        <v>1167.4166</v>
      </c>
      <c r="AD166" s="40">
        <v>10566.3333</v>
      </c>
      <c r="AE166" s="40"/>
      <c r="AF166" s="40"/>
      <c r="AG166" s="40"/>
      <c r="AH166" s="40"/>
    </row>
    <row r="167" spans="1:34" s="41" customFormat="1" ht="15" customHeight="1" x14ac:dyDescent="0.2">
      <c r="A167" s="42"/>
      <c r="B167" s="39" t="s">
        <v>38</v>
      </c>
      <c r="C167" s="39" t="s">
        <v>37</v>
      </c>
      <c r="D167" s="40"/>
      <c r="E167" s="40">
        <v>0</v>
      </c>
      <c r="F167" s="40">
        <v>0</v>
      </c>
      <c r="G167" s="40">
        <v>0</v>
      </c>
      <c r="H167" s="40">
        <v>0</v>
      </c>
      <c r="I167" s="40">
        <v>0</v>
      </c>
      <c r="J167" s="40">
        <v>0</v>
      </c>
      <c r="K167" s="40">
        <v>0</v>
      </c>
      <c r="L167" s="40">
        <v>0</v>
      </c>
      <c r="M167" s="40">
        <v>0</v>
      </c>
      <c r="N167" s="40">
        <v>0</v>
      </c>
      <c r="O167" s="40">
        <v>0</v>
      </c>
      <c r="P167" s="40">
        <v>0</v>
      </c>
      <c r="Q167" s="40">
        <v>0</v>
      </c>
      <c r="R167" s="40">
        <v>0</v>
      </c>
      <c r="S167" s="40">
        <v>0</v>
      </c>
      <c r="T167" s="40">
        <v>0</v>
      </c>
      <c r="U167" s="40">
        <v>0</v>
      </c>
      <c r="V167" s="40">
        <v>0</v>
      </c>
      <c r="W167" s="40">
        <v>0</v>
      </c>
      <c r="X167" s="40">
        <v>0</v>
      </c>
      <c r="Y167" s="40">
        <v>0</v>
      </c>
      <c r="Z167" s="40">
        <v>0</v>
      </c>
      <c r="AA167" s="40">
        <v>0</v>
      </c>
      <c r="AB167" s="40">
        <v>0</v>
      </c>
      <c r="AC167" s="40">
        <v>0</v>
      </c>
      <c r="AD167" s="40">
        <v>0</v>
      </c>
      <c r="AE167" s="40"/>
      <c r="AF167" s="40"/>
      <c r="AG167" s="40"/>
      <c r="AH167" s="40"/>
    </row>
    <row r="168" spans="1:34" s="41" customFormat="1" ht="15" customHeight="1" x14ac:dyDescent="0.2">
      <c r="A168" s="42"/>
      <c r="B168" s="39" t="s">
        <v>45</v>
      </c>
      <c r="C168" s="39" t="s">
        <v>42</v>
      </c>
      <c r="D168" s="40"/>
      <c r="E168" s="40">
        <v>0.35726598783999997</v>
      </c>
      <c r="F168" s="40">
        <v>4.4174807999999999E-3</v>
      </c>
      <c r="G168" s="40">
        <v>0</v>
      </c>
      <c r="H168" s="40">
        <v>0.15010762075</v>
      </c>
      <c r="I168" s="40">
        <v>0.47466862262000004</v>
      </c>
      <c r="J168" s="40">
        <v>0</v>
      </c>
      <c r="K168" s="40">
        <v>0</v>
      </c>
      <c r="L168" s="40">
        <v>0</v>
      </c>
      <c r="M168" s="40">
        <v>2.4434712500000003E-3</v>
      </c>
      <c r="N168" s="40">
        <v>3.878081546E-2</v>
      </c>
      <c r="O168" s="40">
        <v>0.26759176643999999</v>
      </c>
      <c r="P168" s="40">
        <v>0</v>
      </c>
      <c r="Q168" s="40">
        <v>1.0392828200000001E-2</v>
      </c>
      <c r="R168" s="40">
        <v>3.4253993199999999E-2</v>
      </c>
      <c r="S168" s="40">
        <v>0.32651814295000003</v>
      </c>
      <c r="T168" s="40">
        <v>1</v>
      </c>
      <c r="U168" s="40">
        <v>0</v>
      </c>
      <c r="V168" s="40">
        <v>1</v>
      </c>
      <c r="W168" s="40">
        <v>0</v>
      </c>
      <c r="X168" s="40">
        <v>2.2401397899999998E-3</v>
      </c>
      <c r="Y168" s="40">
        <v>0.10973193984</v>
      </c>
      <c r="Z168" s="40">
        <v>0.40518035021999999</v>
      </c>
      <c r="AA168" s="40">
        <v>0</v>
      </c>
      <c r="AB168" s="40">
        <v>0</v>
      </c>
      <c r="AC168" s="40">
        <v>1</v>
      </c>
      <c r="AD168" s="40">
        <v>0</v>
      </c>
      <c r="AE168" s="40"/>
      <c r="AF168" s="40"/>
      <c r="AG168" s="40"/>
      <c r="AH168" s="40"/>
    </row>
    <row r="169" spans="1:34" s="41" customFormat="1" ht="15" customHeight="1" x14ac:dyDescent="0.2">
      <c r="A169" s="42"/>
      <c r="B169" s="39" t="s">
        <v>46</v>
      </c>
      <c r="C169" s="39" t="s">
        <v>42</v>
      </c>
      <c r="D169" s="40"/>
      <c r="E169" s="40">
        <v>1.056127373</v>
      </c>
      <c r="F169" s="40">
        <v>1.056127373</v>
      </c>
      <c r="G169" s="40">
        <v>1.056127373</v>
      </c>
      <c r="H169" s="40">
        <v>1.056127373</v>
      </c>
      <c r="I169" s="40">
        <v>1.056127373</v>
      </c>
      <c r="J169" s="40">
        <v>1.056127373</v>
      </c>
      <c r="K169" s="40">
        <v>1.056127373</v>
      </c>
      <c r="L169" s="40">
        <v>1.056127373</v>
      </c>
      <c r="M169" s="40">
        <v>1.056127373</v>
      </c>
      <c r="N169" s="40">
        <v>1.056127373</v>
      </c>
      <c r="O169" s="40">
        <v>1.056127373</v>
      </c>
      <c r="P169" s="40">
        <v>1.056127373</v>
      </c>
      <c r="Q169" s="40">
        <v>1.056127373</v>
      </c>
      <c r="R169" s="40">
        <v>1.056127373</v>
      </c>
      <c r="S169" s="40">
        <v>1.056127373</v>
      </c>
      <c r="T169" s="40">
        <v>1.056127373</v>
      </c>
      <c r="U169" s="40">
        <v>1.056127373</v>
      </c>
      <c r="V169" s="40">
        <v>1.056127373</v>
      </c>
      <c r="W169" s="40">
        <v>1.056127373</v>
      </c>
      <c r="X169" s="40">
        <v>1.056127373</v>
      </c>
      <c r="Y169" s="40">
        <v>1.056127373</v>
      </c>
      <c r="Z169" s="40">
        <v>1.056127373</v>
      </c>
      <c r="AA169" s="40">
        <v>1.056127373</v>
      </c>
      <c r="AB169" s="40">
        <v>1.056127373</v>
      </c>
      <c r="AC169" s="40">
        <v>1.056127373</v>
      </c>
      <c r="AD169" s="40">
        <v>1.056127373</v>
      </c>
      <c r="AE169" s="40"/>
      <c r="AF169" s="40"/>
      <c r="AG169" s="40"/>
      <c r="AH169" s="40"/>
    </row>
    <row r="170" spans="1:34" s="41" customFormat="1" ht="15" customHeight="1" x14ac:dyDescent="0.2">
      <c r="A170" s="42"/>
      <c r="B170" s="38" t="s">
        <v>47</v>
      </c>
      <c r="C170" s="42"/>
      <c r="D170" s="40">
        <f>SUM($E$170:$AH$170)</f>
        <v>335422.62810611469</v>
      </c>
      <c r="E170" s="40">
        <v>144076.03979941717</v>
      </c>
      <c r="F170" s="40">
        <v>118.18214733768937</v>
      </c>
      <c r="G170" s="40">
        <v>0</v>
      </c>
      <c r="H170" s="40">
        <v>4029.2423829798681</v>
      </c>
      <c r="I170" s="40">
        <v>4803.8081101551834</v>
      </c>
      <c r="J170" s="40">
        <v>0</v>
      </c>
      <c r="K170" s="40">
        <v>0</v>
      </c>
      <c r="L170" s="40">
        <v>0</v>
      </c>
      <c r="M170" s="40">
        <v>9050.054985777273</v>
      </c>
      <c r="N170" s="40">
        <v>32787.995833705754</v>
      </c>
      <c r="O170" s="40">
        <v>31657.965260378438</v>
      </c>
      <c r="P170" s="40">
        <v>0</v>
      </c>
      <c r="Q170" s="40">
        <v>1925.6585605479509</v>
      </c>
      <c r="R170" s="40">
        <v>25411.548145649173</v>
      </c>
      <c r="S170" s="40">
        <v>48912.434289671677</v>
      </c>
      <c r="T170" s="40">
        <v>15584.039459554922</v>
      </c>
      <c r="U170" s="40">
        <v>0</v>
      </c>
      <c r="V170" s="40">
        <v>2394.5927618444207</v>
      </c>
      <c r="W170" s="40">
        <v>0</v>
      </c>
      <c r="X170" s="40">
        <v>165.76153661922427</v>
      </c>
      <c r="Y170" s="40">
        <v>9518.1683371555209</v>
      </c>
      <c r="Z170" s="40">
        <v>3754.1958683658427</v>
      </c>
      <c r="AA170" s="40">
        <v>0</v>
      </c>
      <c r="AB170" s="40">
        <v>0</v>
      </c>
      <c r="AC170" s="40">
        <v>1232.9406269545918</v>
      </c>
      <c r="AD170" s="40">
        <v>0</v>
      </c>
      <c r="AE170" s="40"/>
      <c r="AF170" s="40"/>
      <c r="AG170" s="40"/>
      <c r="AH170" s="40"/>
    </row>
    <row r="171" spans="1:34" s="41" customFormat="1" ht="15" customHeight="1" x14ac:dyDescent="0.2">
      <c r="A171" s="42"/>
      <c r="B171" s="42"/>
      <c r="C171" s="42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F171" s="40"/>
      <c r="AG171" s="40"/>
      <c r="AH171" s="40"/>
    </row>
    <row r="172" spans="1:34" s="41" customFormat="1" ht="15" customHeight="1" x14ac:dyDescent="0.2">
      <c r="A172" s="42"/>
      <c r="B172" s="39" t="s">
        <v>36</v>
      </c>
      <c r="C172" s="39" t="s">
        <v>37</v>
      </c>
      <c r="D172" s="40"/>
      <c r="E172" s="40">
        <v>381842.0833</v>
      </c>
      <c r="F172" s="40">
        <v>25331.5</v>
      </c>
      <c r="G172" s="40">
        <v>183520.8333</v>
      </c>
      <c r="H172" s="40">
        <v>25415.833299999998</v>
      </c>
      <c r="I172" s="40">
        <v>9582.5</v>
      </c>
      <c r="J172" s="40">
        <v>0</v>
      </c>
      <c r="K172" s="40">
        <v>1016225.0833000001</v>
      </c>
      <c r="L172" s="40">
        <v>3647.5832999999998</v>
      </c>
      <c r="M172" s="40">
        <v>3506934.75</v>
      </c>
      <c r="N172" s="40">
        <v>800537.4166</v>
      </c>
      <c r="O172" s="40">
        <v>112019.5833</v>
      </c>
      <c r="P172" s="40">
        <v>30542.25</v>
      </c>
      <c r="Q172" s="40">
        <v>175440.25</v>
      </c>
      <c r="R172" s="40">
        <v>702430.9166</v>
      </c>
      <c r="S172" s="40">
        <v>141839</v>
      </c>
      <c r="T172" s="40">
        <v>14755.8333</v>
      </c>
      <c r="U172" s="40">
        <v>5676.0833000000002</v>
      </c>
      <c r="V172" s="40">
        <v>2267.3332999999998</v>
      </c>
      <c r="W172" s="40">
        <v>9380715.9166000001</v>
      </c>
      <c r="X172" s="40">
        <v>70063.583299999998</v>
      </c>
      <c r="Y172" s="40">
        <v>82130.416599999997</v>
      </c>
      <c r="Z172" s="40">
        <v>8773.0833000000002</v>
      </c>
      <c r="AA172" s="40">
        <v>29509</v>
      </c>
      <c r="AB172" s="40">
        <v>3485.1666</v>
      </c>
      <c r="AC172" s="40">
        <v>1167.4166</v>
      </c>
      <c r="AD172" s="40">
        <v>10566.3333</v>
      </c>
      <c r="AE172" s="40"/>
      <c r="AF172" s="40"/>
      <c r="AG172" s="40"/>
      <c r="AH172" s="40"/>
    </row>
    <row r="173" spans="1:34" s="41" customFormat="1" ht="15" customHeight="1" x14ac:dyDescent="0.2">
      <c r="A173" s="42"/>
      <c r="B173" s="39" t="s">
        <v>38</v>
      </c>
      <c r="C173" s="39" t="s">
        <v>37</v>
      </c>
      <c r="D173" s="40"/>
      <c r="E173" s="40">
        <v>0</v>
      </c>
      <c r="F173" s="40">
        <v>0</v>
      </c>
      <c r="G173" s="40">
        <v>0</v>
      </c>
      <c r="H173" s="40">
        <v>0</v>
      </c>
      <c r="I173" s="40">
        <v>0</v>
      </c>
      <c r="J173" s="40">
        <v>0</v>
      </c>
      <c r="K173" s="40">
        <v>0</v>
      </c>
      <c r="L173" s="40">
        <v>0</v>
      </c>
      <c r="M173" s="40">
        <v>0</v>
      </c>
      <c r="N173" s="40">
        <v>0</v>
      </c>
      <c r="O173" s="40">
        <v>0</v>
      </c>
      <c r="P173" s="40">
        <v>0</v>
      </c>
      <c r="Q173" s="40">
        <v>0</v>
      </c>
      <c r="R173" s="40">
        <v>0</v>
      </c>
      <c r="S173" s="40">
        <v>0</v>
      </c>
      <c r="T173" s="40">
        <v>0</v>
      </c>
      <c r="U173" s="40">
        <v>0</v>
      </c>
      <c r="V173" s="40">
        <v>0</v>
      </c>
      <c r="W173" s="40">
        <v>0</v>
      </c>
      <c r="X173" s="40">
        <v>0</v>
      </c>
      <c r="Y173" s="40">
        <v>0</v>
      </c>
      <c r="Z173" s="40">
        <v>0</v>
      </c>
      <c r="AA173" s="40">
        <v>0</v>
      </c>
      <c r="AB173" s="40">
        <v>0</v>
      </c>
      <c r="AC173" s="40">
        <v>0</v>
      </c>
      <c r="AD173" s="40">
        <v>0</v>
      </c>
      <c r="AE173" s="40"/>
      <c r="AF173" s="40"/>
      <c r="AG173" s="40"/>
      <c r="AH173" s="40"/>
    </row>
    <row r="174" spans="1:34" s="41" customFormat="1" ht="15" customHeight="1" x14ac:dyDescent="0.2">
      <c r="A174" s="42"/>
      <c r="B174" s="39" t="s">
        <v>48</v>
      </c>
      <c r="C174" s="39" t="s">
        <v>42</v>
      </c>
      <c r="D174" s="40"/>
      <c r="E174" s="40">
        <v>0.64273401215000003</v>
      </c>
      <c r="F174" s="40">
        <v>0.99558251918999996</v>
      </c>
      <c r="G174" s="40">
        <v>0</v>
      </c>
      <c r="H174" s="40">
        <v>0.84989237924000005</v>
      </c>
      <c r="I174" s="40">
        <v>0.52533137737000002</v>
      </c>
      <c r="J174" s="40">
        <v>0</v>
      </c>
      <c r="K174" s="40">
        <v>1</v>
      </c>
      <c r="L174" s="40">
        <v>1</v>
      </c>
      <c r="M174" s="40">
        <v>0.99755652874</v>
      </c>
      <c r="N174" s="40">
        <v>0.96121918452999999</v>
      </c>
      <c r="O174" s="40">
        <v>0.73240823354999995</v>
      </c>
      <c r="P174" s="40">
        <v>0</v>
      </c>
      <c r="Q174" s="40">
        <v>0.98960717179000002</v>
      </c>
      <c r="R174" s="40">
        <v>0.96574600679</v>
      </c>
      <c r="S174" s="40">
        <v>0.67348185703999996</v>
      </c>
      <c r="T174" s="40">
        <v>0</v>
      </c>
      <c r="U174" s="40">
        <v>1</v>
      </c>
      <c r="V174" s="40">
        <v>0</v>
      </c>
      <c r="W174" s="40">
        <v>1</v>
      </c>
      <c r="X174" s="40">
        <v>0.99775986019999996</v>
      </c>
      <c r="Y174" s="40">
        <v>0.89026806015000004</v>
      </c>
      <c r="Z174" s="40">
        <v>0.59481964977000001</v>
      </c>
      <c r="AA174" s="40">
        <v>1</v>
      </c>
      <c r="AB174" s="40">
        <v>1</v>
      </c>
      <c r="AC174" s="40">
        <v>0</v>
      </c>
      <c r="AD174" s="40">
        <v>0</v>
      </c>
      <c r="AE174" s="40"/>
      <c r="AF174" s="40"/>
      <c r="AG174" s="40"/>
      <c r="AH174" s="40"/>
    </row>
    <row r="175" spans="1:34" s="41" customFormat="1" ht="15" customHeight="1" x14ac:dyDescent="0.2">
      <c r="A175" s="42"/>
      <c r="B175" s="39" t="s">
        <v>49</v>
      </c>
      <c r="C175" s="39" t="s">
        <v>42</v>
      </c>
      <c r="D175" s="40"/>
      <c r="E175" s="40">
        <v>1.0857752949999999</v>
      </c>
      <c r="F175" s="40">
        <v>1.0857752949999999</v>
      </c>
      <c r="G175" s="40">
        <v>1.0857752949999999</v>
      </c>
      <c r="H175" s="40">
        <v>1.0857752949999999</v>
      </c>
      <c r="I175" s="40">
        <v>1.0857752949999999</v>
      </c>
      <c r="J175" s="40">
        <v>1.0857752949999999</v>
      </c>
      <c r="K175" s="40">
        <v>1.0857752949999999</v>
      </c>
      <c r="L175" s="40">
        <v>1.0857752949999999</v>
      </c>
      <c r="M175" s="40">
        <v>1.0857752949999999</v>
      </c>
      <c r="N175" s="40">
        <v>1.0857752949999999</v>
      </c>
      <c r="O175" s="40">
        <v>1.0857752949999999</v>
      </c>
      <c r="P175" s="40">
        <v>1.0857752949999999</v>
      </c>
      <c r="Q175" s="40">
        <v>1.0857752949999999</v>
      </c>
      <c r="R175" s="40">
        <v>1.0857752949999999</v>
      </c>
      <c r="S175" s="40">
        <v>1.0857752949999999</v>
      </c>
      <c r="T175" s="40">
        <v>1.0857752949999999</v>
      </c>
      <c r="U175" s="40">
        <v>1.0857752949999999</v>
      </c>
      <c r="V175" s="40">
        <v>1.0857752949999999</v>
      </c>
      <c r="W175" s="40">
        <v>1.0857752949999999</v>
      </c>
      <c r="X175" s="40">
        <v>1.0857752949999999</v>
      </c>
      <c r="Y175" s="40">
        <v>1.0857752949999999</v>
      </c>
      <c r="Z175" s="40">
        <v>1.0857752949999999</v>
      </c>
      <c r="AA175" s="40">
        <v>1.0857752949999999</v>
      </c>
      <c r="AB175" s="40">
        <v>1.0857752949999999</v>
      </c>
      <c r="AC175" s="40">
        <v>1.0857752949999999</v>
      </c>
      <c r="AD175" s="40">
        <v>1.0857752949999999</v>
      </c>
      <c r="AE175" s="40"/>
      <c r="AF175" s="40"/>
      <c r="AG175" s="40"/>
      <c r="AH175" s="40"/>
    </row>
    <row r="176" spans="1:34" s="41" customFormat="1" ht="15" customHeight="1" x14ac:dyDescent="0.2">
      <c r="A176" s="42"/>
      <c r="B176" s="38" t="s">
        <v>50</v>
      </c>
      <c r="C176" s="42"/>
      <c r="D176" s="40">
        <f>SUM($E$176:$AH$176)</f>
        <v>17570226.003781293</v>
      </c>
      <c r="E176" s="40">
        <v>266474.11535749334</v>
      </c>
      <c r="F176" s="40">
        <v>27382.817093259557</v>
      </c>
      <c r="G176" s="40">
        <v>0</v>
      </c>
      <c r="H176" s="40">
        <v>23453.531424133493</v>
      </c>
      <c r="I176" s="40">
        <v>5465.7797228253721</v>
      </c>
      <c r="J176" s="40">
        <v>0</v>
      </c>
      <c r="K176" s="40">
        <v>1103392.0896064572</v>
      </c>
      <c r="L176" s="40">
        <v>3960.4558335945731</v>
      </c>
      <c r="M176" s="40">
        <v>3798439.0018655895</v>
      </c>
      <c r="N176" s="40">
        <v>835495.31944571913</v>
      </c>
      <c r="O176" s="40">
        <v>89081.419017092892</v>
      </c>
      <c r="P176" s="40">
        <v>0</v>
      </c>
      <c r="Q176" s="40">
        <v>188508.97297583436</v>
      </c>
      <c r="R176" s="40">
        <v>736557.22699122364</v>
      </c>
      <c r="S176" s="40">
        <v>103719.76336079226</v>
      </c>
      <c r="T176" s="40">
        <v>0</v>
      </c>
      <c r="U176" s="40">
        <v>6162.951019502073</v>
      </c>
      <c r="V176" s="40">
        <v>0</v>
      </c>
      <c r="W176" s="40">
        <v>10185349.59165756</v>
      </c>
      <c r="X176" s="40">
        <v>75902.892981735175</v>
      </c>
      <c r="Y176" s="40">
        <v>79389.812119387352</v>
      </c>
      <c r="Z176" s="40">
        <v>5666.0123357003222</v>
      </c>
      <c r="AA176" s="40">
        <v>32040.143180154999</v>
      </c>
      <c r="AB176" s="40">
        <v>3784.1077932391468</v>
      </c>
      <c r="AC176" s="40">
        <v>0</v>
      </c>
      <c r="AD176" s="40">
        <v>0</v>
      </c>
      <c r="AE176" s="40"/>
      <c r="AF176" s="40"/>
      <c r="AG176" s="40"/>
      <c r="AH176" s="40"/>
    </row>
    <row r="177" spans="1:34" s="41" customFormat="1" ht="15" customHeight="1" x14ac:dyDescent="0.2">
      <c r="A177" s="42"/>
      <c r="B177" s="42"/>
      <c r="C177" s="42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  <c r="AG177" s="40"/>
      <c r="AH177" s="40"/>
    </row>
    <row r="178" spans="1:34" s="41" customFormat="1" ht="15" customHeight="1" x14ac:dyDescent="0.2">
      <c r="A178" s="42"/>
      <c r="B178" s="39" t="s">
        <v>44</v>
      </c>
      <c r="C178" s="39" t="s">
        <v>37</v>
      </c>
      <c r="D178" s="40"/>
      <c r="E178" s="40">
        <v>0</v>
      </c>
      <c r="F178" s="40">
        <v>0</v>
      </c>
      <c r="G178" s="40">
        <v>189125.93246331529</v>
      </c>
      <c r="H178" s="40">
        <v>0</v>
      </c>
      <c r="I178" s="40">
        <v>0</v>
      </c>
      <c r="J178" s="40">
        <v>0</v>
      </c>
      <c r="K178" s="40">
        <v>0</v>
      </c>
      <c r="L178" s="40">
        <v>0</v>
      </c>
      <c r="M178" s="40">
        <v>0</v>
      </c>
      <c r="N178" s="40">
        <v>0</v>
      </c>
      <c r="O178" s="40">
        <v>0</v>
      </c>
      <c r="P178" s="40">
        <v>31475.072376852</v>
      </c>
      <c r="Q178" s="40">
        <v>0</v>
      </c>
      <c r="R178" s="40">
        <v>0</v>
      </c>
      <c r="S178" s="40">
        <v>0</v>
      </c>
      <c r="T178" s="40">
        <v>0</v>
      </c>
      <c r="U178" s="40">
        <v>0</v>
      </c>
      <c r="V178" s="40">
        <v>0</v>
      </c>
      <c r="W178" s="40">
        <v>0</v>
      </c>
      <c r="X178" s="40">
        <v>0</v>
      </c>
      <c r="Y178" s="40">
        <v>0</v>
      </c>
      <c r="Z178" s="40">
        <v>0</v>
      </c>
      <c r="AA178" s="40">
        <v>0</v>
      </c>
      <c r="AB178" s="40">
        <v>0</v>
      </c>
      <c r="AC178" s="40">
        <v>0</v>
      </c>
      <c r="AD178" s="40">
        <v>10889.050589771266</v>
      </c>
      <c r="AE178" s="40"/>
      <c r="AF178" s="40"/>
      <c r="AG178" s="40"/>
      <c r="AH178" s="40"/>
    </row>
    <row r="179" spans="1:34" s="41" customFormat="1" ht="15" customHeight="1" x14ac:dyDescent="0.2">
      <c r="A179" s="42"/>
      <c r="B179" s="39" t="s">
        <v>47</v>
      </c>
      <c r="C179" s="39" t="s">
        <v>37</v>
      </c>
      <c r="D179" s="40"/>
      <c r="E179" s="40">
        <v>144076.03979941717</v>
      </c>
      <c r="F179" s="40">
        <v>118.18214733768937</v>
      </c>
      <c r="G179" s="40">
        <v>0</v>
      </c>
      <c r="H179" s="40">
        <v>4029.2423829798681</v>
      </c>
      <c r="I179" s="40">
        <v>4803.8081101551834</v>
      </c>
      <c r="J179" s="40">
        <v>0</v>
      </c>
      <c r="K179" s="40">
        <v>0</v>
      </c>
      <c r="L179" s="40">
        <v>0</v>
      </c>
      <c r="M179" s="40">
        <v>9050.054985777273</v>
      </c>
      <c r="N179" s="40">
        <v>32787.995833705754</v>
      </c>
      <c r="O179" s="40">
        <v>31657.965260378438</v>
      </c>
      <c r="P179" s="40">
        <v>0</v>
      </c>
      <c r="Q179" s="40">
        <v>1925.6585605479509</v>
      </c>
      <c r="R179" s="40">
        <v>25411.548145649173</v>
      </c>
      <c r="S179" s="40">
        <v>48912.434289671677</v>
      </c>
      <c r="T179" s="40">
        <v>15584.039459554922</v>
      </c>
      <c r="U179" s="40">
        <v>0</v>
      </c>
      <c r="V179" s="40">
        <v>2394.5927618444207</v>
      </c>
      <c r="W179" s="40">
        <v>0</v>
      </c>
      <c r="X179" s="40">
        <v>165.76153661922427</v>
      </c>
      <c r="Y179" s="40">
        <v>9518.1683371555209</v>
      </c>
      <c r="Z179" s="40">
        <v>3754.1958683658427</v>
      </c>
      <c r="AA179" s="40">
        <v>0</v>
      </c>
      <c r="AB179" s="40">
        <v>0</v>
      </c>
      <c r="AC179" s="40">
        <v>1232.9406269545918</v>
      </c>
      <c r="AD179" s="40">
        <v>0</v>
      </c>
      <c r="AE179" s="40"/>
      <c r="AF179" s="40"/>
      <c r="AG179" s="40"/>
      <c r="AH179" s="40"/>
    </row>
    <row r="180" spans="1:34" s="41" customFormat="1" ht="15" customHeight="1" x14ac:dyDescent="0.2">
      <c r="A180" s="42"/>
      <c r="B180" s="39" t="s">
        <v>50</v>
      </c>
      <c r="C180" s="39" t="s">
        <v>37</v>
      </c>
      <c r="D180" s="40"/>
      <c r="E180" s="40">
        <v>266474.11535749334</v>
      </c>
      <c r="F180" s="40">
        <v>27382.817093259557</v>
      </c>
      <c r="G180" s="40">
        <v>0</v>
      </c>
      <c r="H180" s="40">
        <v>23453.531424133493</v>
      </c>
      <c r="I180" s="40">
        <v>5465.7797228253721</v>
      </c>
      <c r="J180" s="40">
        <v>0</v>
      </c>
      <c r="K180" s="40">
        <v>1103392.0896064572</v>
      </c>
      <c r="L180" s="40">
        <v>3960.4558335945731</v>
      </c>
      <c r="M180" s="40">
        <v>3798439.0018655895</v>
      </c>
      <c r="N180" s="40">
        <v>835495.31944571913</v>
      </c>
      <c r="O180" s="40">
        <v>89081.419017092892</v>
      </c>
      <c r="P180" s="40">
        <v>0</v>
      </c>
      <c r="Q180" s="40">
        <v>188508.97297583436</v>
      </c>
      <c r="R180" s="40">
        <v>736557.22699122364</v>
      </c>
      <c r="S180" s="40">
        <v>103719.76336079226</v>
      </c>
      <c r="T180" s="40">
        <v>0</v>
      </c>
      <c r="U180" s="40">
        <v>6162.951019502073</v>
      </c>
      <c r="V180" s="40">
        <v>0</v>
      </c>
      <c r="W180" s="40">
        <v>10185349.59165756</v>
      </c>
      <c r="X180" s="40">
        <v>75902.892981735175</v>
      </c>
      <c r="Y180" s="40">
        <v>79389.812119387352</v>
      </c>
      <c r="Z180" s="40">
        <v>5666.0123357003222</v>
      </c>
      <c r="AA180" s="40">
        <v>32040.143180154999</v>
      </c>
      <c r="AB180" s="40">
        <v>3784.1077932391468</v>
      </c>
      <c r="AC180" s="40">
        <v>0</v>
      </c>
      <c r="AD180" s="40">
        <v>0</v>
      </c>
      <c r="AE180" s="40"/>
      <c r="AF180" s="40"/>
      <c r="AG180" s="40"/>
      <c r="AH180" s="40"/>
    </row>
    <row r="181" spans="1:34" s="41" customFormat="1" ht="15" customHeight="1" x14ac:dyDescent="0.2">
      <c r="A181" s="42"/>
      <c r="B181" s="38" t="s">
        <v>91</v>
      </c>
      <c r="C181" s="42"/>
      <c r="D181" s="40">
        <f>SUM($E$181:$AH$181)</f>
        <v>18137138.687317342</v>
      </c>
      <c r="E181" s="40">
        <v>410550.15515691054</v>
      </c>
      <c r="F181" s="40">
        <v>27500.999240597244</v>
      </c>
      <c r="G181" s="40">
        <v>189125.93246331529</v>
      </c>
      <c r="H181" s="40">
        <v>27482.773807113361</v>
      </c>
      <c r="I181" s="40">
        <v>10269.587832980556</v>
      </c>
      <c r="J181" s="40">
        <v>0</v>
      </c>
      <c r="K181" s="40">
        <v>1103392.0896064572</v>
      </c>
      <c r="L181" s="40">
        <v>3960.4558335945731</v>
      </c>
      <c r="M181" s="40">
        <v>3807489.056851367</v>
      </c>
      <c r="N181" s="40">
        <v>868283.31527942489</v>
      </c>
      <c r="O181" s="40">
        <v>120739.38427747133</v>
      </c>
      <c r="P181" s="40">
        <v>31475.072376852</v>
      </c>
      <c r="Q181" s="40">
        <v>190434.63153638231</v>
      </c>
      <c r="R181" s="40">
        <v>761968.77513687278</v>
      </c>
      <c r="S181" s="40">
        <v>152632.19765046393</v>
      </c>
      <c r="T181" s="40">
        <v>15584.039459554922</v>
      </c>
      <c r="U181" s="40">
        <v>6162.951019502073</v>
      </c>
      <c r="V181" s="40">
        <v>2394.5927618444207</v>
      </c>
      <c r="W181" s="40">
        <v>10185349.59165756</v>
      </c>
      <c r="X181" s="40">
        <v>76068.654518354393</v>
      </c>
      <c r="Y181" s="40">
        <v>88907.980456542879</v>
      </c>
      <c r="Z181" s="40">
        <v>9420.2082040661644</v>
      </c>
      <c r="AA181" s="40">
        <v>32040.143180154999</v>
      </c>
      <c r="AB181" s="40">
        <v>3784.1077932391468</v>
      </c>
      <c r="AC181" s="40">
        <v>1232.9406269545918</v>
      </c>
      <c r="AD181" s="40">
        <v>10889.050589771266</v>
      </c>
      <c r="AE181" s="40"/>
      <c r="AF181" s="40"/>
      <c r="AG181" s="40"/>
      <c r="AH181" s="40"/>
    </row>
    <row r="182" spans="1:34" ht="15" customHeight="1" x14ac:dyDescent="0.2"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</row>
    <row r="183" spans="1:34" ht="15" customHeight="1" x14ac:dyDescent="0.2"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</row>
    <row r="184" spans="1:34" ht="15" customHeight="1" x14ac:dyDescent="0.2"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</row>
    <row r="185" spans="1:34" ht="15" customHeight="1" x14ac:dyDescent="0.2"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</row>
    <row r="186" spans="1:34" s="46" customFormat="1" ht="15" customHeight="1" x14ac:dyDescent="0.2">
      <c r="A186" s="43" t="s">
        <v>92</v>
      </c>
      <c r="B186" s="44" t="s">
        <v>93</v>
      </c>
      <c r="C186" s="44" t="s">
        <v>37</v>
      </c>
      <c r="D186" s="45"/>
      <c r="E186" s="45">
        <v>526120</v>
      </c>
      <c r="F186" s="45">
        <v>34155</v>
      </c>
      <c r="G186" s="45">
        <v>279556</v>
      </c>
      <c r="H186" s="45">
        <v>41010</v>
      </c>
      <c r="I186" s="45">
        <v>15221</v>
      </c>
      <c r="J186" s="45">
        <v>0</v>
      </c>
      <c r="K186" s="45">
        <v>2076305</v>
      </c>
      <c r="L186" s="45">
        <v>4241</v>
      </c>
      <c r="M186" s="45">
        <v>5763794</v>
      </c>
      <c r="N186" s="45">
        <v>1129352</v>
      </c>
      <c r="O186" s="45">
        <v>173064</v>
      </c>
      <c r="P186" s="45">
        <v>52506</v>
      </c>
      <c r="Q186" s="45">
        <v>214340</v>
      </c>
      <c r="R186" s="45">
        <v>868958</v>
      </c>
      <c r="S186" s="45">
        <v>187786</v>
      </c>
      <c r="T186" s="45">
        <v>23922</v>
      </c>
      <c r="U186" s="45">
        <v>27402</v>
      </c>
      <c r="V186" s="45">
        <v>16405</v>
      </c>
      <c r="W186" s="45">
        <v>30099201</v>
      </c>
      <c r="X186" s="45">
        <v>138215</v>
      </c>
      <c r="Y186" s="45">
        <v>149632</v>
      </c>
      <c r="Z186" s="45">
        <v>24022</v>
      </c>
      <c r="AA186" s="45">
        <v>137726</v>
      </c>
      <c r="AB186" s="45">
        <v>3965</v>
      </c>
      <c r="AC186" s="45">
        <v>2861</v>
      </c>
      <c r="AD186" s="45">
        <v>143585</v>
      </c>
      <c r="AE186" s="45"/>
      <c r="AF186" s="45"/>
      <c r="AG186" s="45"/>
      <c r="AH186" s="45"/>
    </row>
    <row r="187" spans="1:34" s="46" customFormat="1" ht="15" customHeight="1" x14ac:dyDescent="0.2">
      <c r="A187" s="47"/>
      <c r="B187" s="44" t="s">
        <v>94</v>
      </c>
      <c r="C187" s="44" t="s">
        <v>37</v>
      </c>
      <c r="D187" s="45"/>
      <c r="E187" s="45">
        <v>0</v>
      </c>
      <c r="F187" s="45">
        <v>0</v>
      </c>
      <c r="G187" s="45">
        <v>0</v>
      </c>
      <c r="H187" s="45">
        <v>0</v>
      </c>
      <c r="I187" s="45">
        <v>0</v>
      </c>
      <c r="J187" s="45">
        <v>0</v>
      </c>
      <c r="K187" s="45">
        <v>0</v>
      </c>
      <c r="L187" s="45">
        <v>0</v>
      </c>
      <c r="M187" s="45">
        <v>0</v>
      </c>
      <c r="N187" s="45">
        <v>0</v>
      </c>
      <c r="O187" s="45">
        <v>0</v>
      </c>
      <c r="P187" s="45">
        <v>0</v>
      </c>
      <c r="Q187" s="45">
        <v>0</v>
      </c>
      <c r="R187" s="45">
        <v>0</v>
      </c>
      <c r="S187" s="45">
        <v>0</v>
      </c>
      <c r="T187" s="45">
        <v>0</v>
      </c>
      <c r="U187" s="45">
        <v>0</v>
      </c>
      <c r="V187" s="45">
        <v>0</v>
      </c>
      <c r="W187" s="45">
        <v>0</v>
      </c>
      <c r="X187" s="45">
        <v>0</v>
      </c>
      <c r="Y187" s="45">
        <v>0</v>
      </c>
      <c r="Z187" s="45">
        <v>0</v>
      </c>
      <c r="AA187" s="45">
        <v>0</v>
      </c>
      <c r="AB187" s="45">
        <v>0</v>
      </c>
      <c r="AC187" s="45">
        <v>0</v>
      </c>
      <c r="AD187" s="45">
        <v>0</v>
      </c>
      <c r="AE187" s="45"/>
      <c r="AF187" s="45"/>
      <c r="AG187" s="45"/>
      <c r="AH187" s="45"/>
    </row>
    <row r="188" spans="1:34" s="46" customFormat="1" ht="15" customHeight="1" x14ac:dyDescent="0.2">
      <c r="A188" s="47"/>
      <c r="B188" s="44" t="s">
        <v>48</v>
      </c>
      <c r="C188" s="44" t="s">
        <v>42</v>
      </c>
      <c r="D188" s="45"/>
      <c r="E188" s="45">
        <v>0.64273401215000003</v>
      </c>
      <c r="F188" s="45">
        <v>0.99558251918999996</v>
      </c>
      <c r="G188" s="45">
        <v>0</v>
      </c>
      <c r="H188" s="45">
        <v>0.84989237924000005</v>
      </c>
      <c r="I188" s="45">
        <v>0.52533137737000002</v>
      </c>
      <c r="J188" s="45">
        <v>0</v>
      </c>
      <c r="K188" s="45">
        <v>1</v>
      </c>
      <c r="L188" s="45">
        <v>1</v>
      </c>
      <c r="M188" s="45">
        <v>0.99755652874</v>
      </c>
      <c r="N188" s="45">
        <v>0.96121918452999999</v>
      </c>
      <c r="O188" s="45">
        <v>0.73240823354999995</v>
      </c>
      <c r="P188" s="45">
        <v>0</v>
      </c>
      <c r="Q188" s="45">
        <v>0.98960717179000002</v>
      </c>
      <c r="R188" s="45">
        <v>0.96574600679</v>
      </c>
      <c r="S188" s="45">
        <v>0.67348185703999996</v>
      </c>
      <c r="T188" s="45">
        <v>0</v>
      </c>
      <c r="U188" s="45">
        <v>1</v>
      </c>
      <c r="V188" s="45">
        <v>0.73550749934000004</v>
      </c>
      <c r="W188" s="45">
        <v>1</v>
      </c>
      <c r="X188" s="45">
        <v>0.99775986019999996</v>
      </c>
      <c r="Y188" s="45">
        <v>0.89026806015000004</v>
      </c>
      <c r="Z188" s="45">
        <v>0.59481964977000001</v>
      </c>
      <c r="AA188" s="45">
        <v>1</v>
      </c>
      <c r="AB188" s="45">
        <v>1</v>
      </c>
      <c r="AC188" s="45">
        <v>0</v>
      </c>
      <c r="AD188" s="45">
        <v>0</v>
      </c>
      <c r="AE188" s="45"/>
      <c r="AF188" s="45"/>
      <c r="AG188" s="45"/>
      <c r="AH188" s="45"/>
    </row>
    <row r="189" spans="1:34" s="46" customFormat="1" ht="15" customHeight="1" x14ac:dyDescent="0.2">
      <c r="A189" s="47"/>
      <c r="B189" s="44" t="s">
        <v>49</v>
      </c>
      <c r="C189" s="44" t="s">
        <v>42</v>
      </c>
      <c r="D189" s="45"/>
      <c r="E189" s="45">
        <v>1.0857752949999999</v>
      </c>
      <c r="F189" s="45">
        <v>1.0857752949999999</v>
      </c>
      <c r="G189" s="45">
        <v>1.0857752949999999</v>
      </c>
      <c r="H189" s="45">
        <v>1.0857752949999999</v>
      </c>
      <c r="I189" s="45">
        <v>1.0857752949999999</v>
      </c>
      <c r="J189" s="45">
        <v>1.0857752949999999</v>
      </c>
      <c r="K189" s="45">
        <v>1.0857752949999999</v>
      </c>
      <c r="L189" s="45">
        <v>1.0857752949999999</v>
      </c>
      <c r="M189" s="45">
        <v>1.0857752949999999</v>
      </c>
      <c r="N189" s="45">
        <v>1.0857752949999999</v>
      </c>
      <c r="O189" s="45">
        <v>1.0857752949999999</v>
      </c>
      <c r="P189" s="45">
        <v>1.0857752949999999</v>
      </c>
      <c r="Q189" s="45">
        <v>1.0857752949999999</v>
      </c>
      <c r="R189" s="45">
        <v>1.0857752949999999</v>
      </c>
      <c r="S189" s="45">
        <v>1.0857752949999999</v>
      </c>
      <c r="T189" s="45">
        <v>1.0857752949999999</v>
      </c>
      <c r="U189" s="45">
        <v>1.0857752949999999</v>
      </c>
      <c r="V189" s="45">
        <v>1.056127373</v>
      </c>
      <c r="W189" s="45">
        <v>1.0857752949999999</v>
      </c>
      <c r="X189" s="45">
        <v>1.0857752949999999</v>
      </c>
      <c r="Y189" s="45">
        <v>1.0857752949999999</v>
      </c>
      <c r="Z189" s="45">
        <v>1.0857752949999999</v>
      </c>
      <c r="AA189" s="45">
        <v>1.0857752949999999</v>
      </c>
      <c r="AB189" s="45">
        <v>1.0857752949999999</v>
      </c>
      <c r="AC189" s="45">
        <v>1.0857752949999999</v>
      </c>
      <c r="AD189" s="45">
        <v>1.0857752949999999</v>
      </c>
      <c r="AE189" s="45"/>
      <c r="AF189" s="45"/>
      <c r="AG189" s="45"/>
      <c r="AH189" s="45"/>
    </row>
    <row r="190" spans="1:34" s="46" customFormat="1" ht="15" customHeight="1" x14ac:dyDescent="0.2">
      <c r="A190" s="47"/>
      <c r="B190" s="43" t="s">
        <v>95</v>
      </c>
      <c r="C190" s="47"/>
      <c r="D190" s="45">
        <f>SUM($E$190:$AH$190)</f>
        <v>44734796.634027876</v>
      </c>
      <c r="E190" s="45">
        <v>367160.58209261397</v>
      </c>
      <c r="F190" s="45">
        <v>36920.83444803032</v>
      </c>
      <c r="G190" s="45">
        <v>0</v>
      </c>
      <c r="H190" s="45">
        <v>37843.706021777951</v>
      </c>
      <c r="I190" s="45">
        <v>8681.934063253324</v>
      </c>
      <c r="J190" s="45">
        <v>0</v>
      </c>
      <c r="K190" s="45">
        <v>2254400.6738849748</v>
      </c>
      <c r="L190" s="45">
        <v>4604.7730260949993</v>
      </c>
      <c r="M190" s="45">
        <v>6242893.4351626802</v>
      </c>
      <c r="N190" s="45">
        <v>1178668.5924239932</v>
      </c>
      <c r="O190" s="45">
        <v>137625.81725988412</v>
      </c>
      <c r="P190" s="45">
        <v>0</v>
      </c>
      <c r="Q190" s="45">
        <v>230306.40498768291</v>
      </c>
      <c r="R190" s="45">
        <v>911174.72156526626</v>
      </c>
      <c r="S190" s="45">
        <v>137318.50536502467</v>
      </c>
      <c r="T190" s="45">
        <v>0</v>
      </c>
      <c r="U190" s="45">
        <v>29752.414633589997</v>
      </c>
      <c r="V190" s="45">
        <v>12743.233438851456</v>
      </c>
      <c r="W190" s="45">
        <v>32680968.845039293</v>
      </c>
      <c r="X190" s="45">
        <v>149734.25365000605</v>
      </c>
      <c r="Y190" s="45">
        <v>144638.93961361164</v>
      </c>
      <c r="Z190" s="45">
        <v>15514.38002739506</v>
      </c>
      <c r="AA190" s="45">
        <v>149539.48827916998</v>
      </c>
      <c r="AB190" s="45">
        <v>4305.0990446749993</v>
      </c>
      <c r="AC190" s="45">
        <v>0</v>
      </c>
      <c r="AD190" s="45">
        <v>0</v>
      </c>
      <c r="AE190" s="45"/>
      <c r="AF190" s="45"/>
      <c r="AG190" s="45"/>
      <c r="AH190" s="45"/>
    </row>
    <row r="191" spans="1:34" ht="15" customHeight="1" x14ac:dyDescent="0.2"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</row>
    <row r="192" spans="1:34" ht="15" customHeight="1" x14ac:dyDescent="0.2"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</row>
    <row r="193" spans="1:34" ht="15" customHeight="1" x14ac:dyDescent="0.2"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</row>
    <row r="194" spans="1:34" ht="15" customHeight="1" x14ac:dyDescent="0.2"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</row>
    <row r="195" spans="1:34" s="41" customFormat="1" ht="15" customHeight="1" x14ac:dyDescent="0.2">
      <c r="A195" s="38" t="s">
        <v>96</v>
      </c>
      <c r="B195" s="39" t="s">
        <v>97</v>
      </c>
      <c r="C195" s="39" t="s">
        <v>37</v>
      </c>
      <c r="D195" s="40"/>
      <c r="E195" s="40">
        <v>3027334.99</v>
      </c>
      <c r="F195" s="40">
        <v>195855.69</v>
      </c>
      <c r="G195" s="40">
        <v>1524964.33</v>
      </c>
      <c r="H195" s="40">
        <v>185202.23</v>
      </c>
      <c r="I195" s="40">
        <v>80886.06</v>
      </c>
      <c r="J195" s="40">
        <v>0</v>
      </c>
      <c r="K195" s="40">
        <v>5852408.5700000003</v>
      </c>
      <c r="L195" s="40">
        <v>31787</v>
      </c>
      <c r="M195" s="40">
        <v>22845592.870000001</v>
      </c>
      <c r="N195" s="40">
        <v>4984669.03</v>
      </c>
      <c r="O195" s="40">
        <v>807278.17</v>
      </c>
      <c r="P195" s="40">
        <v>237183.25</v>
      </c>
      <c r="Q195" s="40">
        <v>1389399.23</v>
      </c>
      <c r="R195" s="40">
        <v>5323765.6100000003</v>
      </c>
      <c r="S195" s="40">
        <v>1128166.22</v>
      </c>
      <c r="T195" s="40">
        <v>91381.33</v>
      </c>
      <c r="U195" s="40">
        <v>102820.95</v>
      </c>
      <c r="V195" s="40">
        <v>13109.06</v>
      </c>
      <c r="W195" s="40">
        <v>51394993.969999999</v>
      </c>
      <c r="X195" s="40">
        <v>478174.8</v>
      </c>
      <c r="Y195" s="40">
        <v>579103.36</v>
      </c>
      <c r="Z195" s="40">
        <v>69101.41</v>
      </c>
      <c r="AA195" s="40">
        <v>518553.01</v>
      </c>
      <c r="AB195" s="40">
        <v>30495</v>
      </c>
      <c r="AC195" s="40">
        <v>7233.69</v>
      </c>
      <c r="AD195" s="40">
        <v>129170.66</v>
      </c>
      <c r="AE195" s="40">
        <v>1021760.17</v>
      </c>
      <c r="AF195" s="40">
        <v>6194.22</v>
      </c>
      <c r="AG195" s="40">
        <v>4500</v>
      </c>
      <c r="AH195" s="40">
        <v>1104227.3500000001</v>
      </c>
    </row>
    <row r="196" spans="1:34" s="41" customFormat="1" ht="15" customHeight="1" x14ac:dyDescent="0.2">
      <c r="A196" s="42"/>
      <c r="B196" s="39" t="s">
        <v>98</v>
      </c>
      <c r="C196" s="39" t="s">
        <v>37</v>
      </c>
      <c r="D196" s="40"/>
      <c r="E196" s="40">
        <v>0</v>
      </c>
      <c r="F196" s="40">
        <v>0</v>
      </c>
      <c r="G196" s="40">
        <v>0</v>
      </c>
      <c r="H196" s="40">
        <v>0</v>
      </c>
      <c r="I196" s="40">
        <v>0</v>
      </c>
      <c r="J196" s="40">
        <v>0</v>
      </c>
      <c r="K196" s="40">
        <v>0</v>
      </c>
      <c r="L196" s="40">
        <v>0</v>
      </c>
      <c r="M196" s="40">
        <v>0</v>
      </c>
      <c r="N196" s="40">
        <v>0</v>
      </c>
      <c r="O196" s="40">
        <v>0</v>
      </c>
      <c r="P196" s="40">
        <v>0</v>
      </c>
      <c r="Q196" s="40">
        <v>0</v>
      </c>
      <c r="R196" s="40">
        <v>0</v>
      </c>
      <c r="S196" s="40">
        <v>0</v>
      </c>
      <c r="T196" s="40">
        <v>0</v>
      </c>
      <c r="U196" s="40">
        <v>0</v>
      </c>
      <c r="V196" s="40">
        <v>0</v>
      </c>
      <c r="W196" s="40">
        <v>0</v>
      </c>
      <c r="X196" s="40">
        <v>0</v>
      </c>
      <c r="Y196" s="40">
        <v>0</v>
      </c>
      <c r="Z196" s="40">
        <v>0</v>
      </c>
      <c r="AA196" s="40">
        <v>0</v>
      </c>
      <c r="AB196" s="40">
        <v>0</v>
      </c>
      <c r="AC196" s="40">
        <v>0</v>
      </c>
      <c r="AD196" s="40">
        <v>0</v>
      </c>
      <c r="AE196" s="40">
        <v>0</v>
      </c>
      <c r="AF196" s="40">
        <v>0</v>
      </c>
      <c r="AG196" s="40">
        <v>0</v>
      </c>
      <c r="AH196" s="40">
        <v>0</v>
      </c>
    </row>
    <row r="197" spans="1:34" s="41" customFormat="1" ht="15" customHeight="1" x14ac:dyDescent="0.2">
      <c r="A197" s="42"/>
      <c r="B197" s="39" t="s">
        <v>99</v>
      </c>
      <c r="C197" s="39" t="s">
        <v>42</v>
      </c>
      <c r="D197" s="40"/>
      <c r="E197" s="40">
        <v>0</v>
      </c>
      <c r="F197" s="40">
        <v>0</v>
      </c>
      <c r="G197" s="40">
        <v>1</v>
      </c>
      <c r="H197" s="40">
        <v>0</v>
      </c>
      <c r="I197" s="40">
        <v>0</v>
      </c>
      <c r="J197" s="40">
        <v>1</v>
      </c>
      <c r="K197" s="40">
        <v>0</v>
      </c>
      <c r="L197" s="40">
        <v>0</v>
      </c>
      <c r="M197" s="40">
        <v>0</v>
      </c>
      <c r="N197" s="40">
        <v>0</v>
      </c>
      <c r="O197" s="40">
        <v>0</v>
      </c>
      <c r="P197" s="40">
        <v>1</v>
      </c>
      <c r="Q197" s="40">
        <v>0</v>
      </c>
      <c r="R197" s="40">
        <v>0</v>
      </c>
      <c r="S197" s="40">
        <v>0</v>
      </c>
      <c r="T197" s="40">
        <v>0</v>
      </c>
      <c r="U197" s="40">
        <v>0</v>
      </c>
      <c r="V197" s="40">
        <v>0</v>
      </c>
      <c r="W197" s="40">
        <v>0</v>
      </c>
      <c r="X197" s="40">
        <v>0</v>
      </c>
      <c r="Y197" s="40">
        <v>0</v>
      </c>
      <c r="Z197" s="40">
        <v>0</v>
      </c>
      <c r="AA197" s="40">
        <v>0</v>
      </c>
      <c r="AB197" s="40">
        <v>0</v>
      </c>
      <c r="AC197" s="40">
        <v>0</v>
      </c>
      <c r="AD197" s="40">
        <v>1</v>
      </c>
      <c r="AE197" s="40">
        <v>1</v>
      </c>
      <c r="AF197" s="40">
        <v>1</v>
      </c>
      <c r="AG197" s="40">
        <v>1</v>
      </c>
      <c r="AH197" s="40">
        <v>1</v>
      </c>
    </row>
    <row r="198" spans="1:34" s="41" customFormat="1" ht="15" customHeight="1" x14ac:dyDescent="0.2">
      <c r="A198" s="42"/>
      <c r="B198" s="39" t="s">
        <v>100</v>
      </c>
      <c r="C198" s="39" t="s">
        <v>42</v>
      </c>
      <c r="D198" s="40"/>
      <c r="E198" s="40">
        <v>1.0243683970000002</v>
      </c>
      <c r="F198" s="40">
        <v>1.0243683970000002</v>
      </c>
      <c r="G198" s="40">
        <v>1.0243683970000002</v>
      </c>
      <c r="H198" s="40">
        <v>1.0243683970000002</v>
      </c>
      <c r="I198" s="40">
        <v>1.0243683970000002</v>
      </c>
      <c r="J198" s="40">
        <v>1.0243683970000002</v>
      </c>
      <c r="K198" s="40">
        <v>1.0243683970000002</v>
      </c>
      <c r="L198" s="40">
        <v>1.0243683970000002</v>
      </c>
      <c r="M198" s="40">
        <v>1.0243683970000002</v>
      </c>
      <c r="N198" s="40">
        <v>1.0243683970000002</v>
      </c>
      <c r="O198" s="40">
        <v>1.0243683970000002</v>
      </c>
      <c r="P198" s="40">
        <v>1.0243683970000002</v>
      </c>
      <c r="Q198" s="40">
        <v>1.0243683970000002</v>
      </c>
      <c r="R198" s="40">
        <v>1.0243683970000002</v>
      </c>
      <c r="S198" s="40">
        <v>1.0243683970000002</v>
      </c>
      <c r="T198" s="40">
        <v>1.0243683970000002</v>
      </c>
      <c r="U198" s="40">
        <v>1.0243683970000002</v>
      </c>
      <c r="V198" s="40">
        <v>1.0243683970000002</v>
      </c>
      <c r="W198" s="40">
        <v>1.0243683970000002</v>
      </c>
      <c r="X198" s="40">
        <v>1.0243683970000002</v>
      </c>
      <c r="Y198" s="40">
        <v>1.0243683970000002</v>
      </c>
      <c r="Z198" s="40">
        <v>1.0243683970000002</v>
      </c>
      <c r="AA198" s="40">
        <v>1.0243683970000002</v>
      </c>
      <c r="AB198" s="40">
        <v>1.0243683970000002</v>
      </c>
      <c r="AC198" s="40">
        <v>1.0243683970000002</v>
      </c>
      <c r="AD198" s="40">
        <v>1.0243683970000002</v>
      </c>
      <c r="AE198" s="40">
        <v>1.0243683970000002</v>
      </c>
      <c r="AF198" s="40">
        <v>1.0243683970000002</v>
      </c>
      <c r="AG198" s="40">
        <v>1.0243683970000002</v>
      </c>
      <c r="AH198" s="40">
        <v>1.0243683970000002</v>
      </c>
    </row>
    <row r="199" spans="1:34" s="41" customFormat="1" ht="15" customHeight="1" x14ac:dyDescent="0.2">
      <c r="A199" s="42"/>
      <c r="B199" s="38" t="s">
        <v>101</v>
      </c>
      <c r="C199" s="42"/>
      <c r="D199" s="40">
        <f>SUM($E$199:$AH$199)</f>
        <v>4126155.8826286327</v>
      </c>
      <c r="E199" s="40">
        <v>0</v>
      </c>
      <c r="F199" s="40">
        <v>0</v>
      </c>
      <c r="G199" s="40">
        <v>1562125.2662042794</v>
      </c>
      <c r="H199" s="40">
        <v>0</v>
      </c>
      <c r="I199" s="40">
        <v>0</v>
      </c>
      <c r="J199" s="40">
        <v>0</v>
      </c>
      <c r="K199" s="40">
        <v>0</v>
      </c>
      <c r="L199" s="40">
        <v>0</v>
      </c>
      <c r="M199" s="40">
        <v>0</v>
      </c>
      <c r="N199" s="40">
        <v>0</v>
      </c>
      <c r="O199" s="40">
        <v>0</v>
      </c>
      <c r="P199" s="40">
        <v>242963.0255977503</v>
      </c>
      <c r="Q199" s="40">
        <v>0</v>
      </c>
      <c r="R199" s="40">
        <v>0</v>
      </c>
      <c r="S199" s="40">
        <v>0</v>
      </c>
      <c r="T199" s="40">
        <v>0</v>
      </c>
      <c r="U199" s="40">
        <v>0</v>
      </c>
      <c r="V199" s="40">
        <v>0</v>
      </c>
      <c r="W199" s="40">
        <v>0</v>
      </c>
      <c r="X199" s="40">
        <v>0</v>
      </c>
      <c r="Y199" s="40">
        <v>0</v>
      </c>
      <c r="Z199" s="40">
        <v>0</v>
      </c>
      <c r="AA199" s="40">
        <v>0</v>
      </c>
      <c r="AB199" s="40">
        <v>0</v>
      </c>
      <c r="AC199" s="40">
        <v>0</v>
      </c>
      <c r="AD199" s="40">
        <v>132318.34192363205</v>
      </c>
      <c r="AE199" s="40">
        <v>1046658.8274613477</v>
      </c>
      <c r="AF199" s="40">
        <v>6345.1632120653412</v>
      </c>
      <c r="AG199" s="40">
        <v>4609.6577865000008</v>
      </c>
      <c r="AH199" s="40">
        <v>1131135.6004430582</v>
      </c>
    </row>
    <row r="200" spans="1:34" s="41" customFormat="1" ht="15" customHeight="1" x14ac:dyDescent="0.2">
      <c r="A200" s="42"/>
      <c r="B200" s="42"/>
      <c r="C200" s="42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F200" s="40"/>
      <c r="AG200" s="40"/>
      <c r="AH200" s="40"/>
    </row>
    <row r="201" spans="1:34" s="41" customFormat="1" ht="15" customHeight="1" x14ac:dyDescent="0.2">
      <c r="A201" s="42"/>
      <c r="B201" s="39" t="s">
        <v>97</v>
      </c>
      <c r="C201" s="39" t="s">
        <v>37</v>
      </c>
      <c r="D201" s="40"/>
      <c r="E201" s="40">
        <v>3027334.99</v>
      </c>
      <c r="F201" s="40">
        <v>195855.69</v>
      </c>
      <c r="G201" s="40">
        <v>1524964.33</v>
      </c>
      <c r="H201" s="40">
        <v>185202.23</v>
      </c>
      <c r="I201" s="40">
        <v>80886.06</v>
      </c>
      <c r="J201" s="40">
        <v>0</v>
      </c>
      <c r="K201" s="40">
        <v>5852408.5700000003</v>
      </c>
      <c r="L201" s="40">
        <v>31787</v>
      </c>
      <c r="M201" s="40">
        <v>22845592.870000001</v>
      </c>
      <c r="N201" s="40">
        <v>4984669.03</v>
      </c>
      <c r="O201" s="40">
        <v>807278.17</v>
      </c>
      <c r="P201" s="40">
        <v>237183.25</v>
      </c>
      <c r="Q201" s="40">
        <v>1389399.23</v>
      </c>
      <c r="R201" s="40">
        <v>5323765.6100000003</v>
      </c>
      <c r="S201" s="40">
        <v>1128166.22</v>
      </c>
      <c r="T201" s="40">
        <v>91381.33</v>
      </c>
      <c r="U201" s="40">
        <v>102820.95</v>
      </c>
      <c r="V201" s="40">
        <v>13109.06</v>
      </c>
      <c r="W201" s="40">
        <v>51394993.969999999</v>
      </c>
      <c r="X201" s="40">
        <v>478174.8</v>
      </c>
      <c r="Y201" s="40">
        <v>579103.36</v>
      </c>
      <c r="Z201" s="40">
        <v>69101.41</v>
      </c>
      <c r="AA201" s="40">
        <v>518553.01</v>
      </c>
      <c r="AB201" s="40">
        <v>30495</v>
      </c>
      <c r="AC201" s="40">
        <v>7233.69</v>
      </c>
      <c r="AD201" s="40">
        <v>129170.66</v>
      </c>
      <c r="AE201" s="40">
        <v>1021760.17</v>
      </c>
      <c r="AF201" s="40">
        <v>6194.22</v>
      </c>
      <c r="AG201" s="40">
        <v>4500</v>
      </c>
      <c r="AH201" s="40">
        <v>1104227.3500000001</v>
      </c>
    </row>
    <row r="202" spans="1:34" s="41" customFormat="1" ht="15" customHeight="1" x14ac:dyDescent="0.2">
      <c r="A202" s="42"/>
      <c r="B202" s="39" t="s">
        <v>98</v>
      </c>
      <c r="C202" s="39" t="s">
        <v>37</v>
      </c>
      <c r="D202" s="40"/>
      <c r="E202" s="40">
        <v>0</v>
      </c>
      <c r="F202" s="40">
        <v>0</v>
      </c>
      <c r="G202" s="40">
        <v>0</v>
      </c>
      <c r="H202" s="40">
        <v>0</v>
      </c>
      <c r="I202" s="40">
        <v>0</v>
      </c>
      <c r="J202" s="40">
        <v>0</v>
      </c>
      <c r="K202" s="40">
        <v>0</v>
      </c>
      <c r="L202" s="40">
        <v>0</v>
      </c>
      <c r="M202" s="40">
        <v>0</v>
      </c>
      <c r="N202" s="40">
        <v>0</v>
      </c>
      <c r="O202" s="40">
        <v>0</v>
      </c>
      <c r="P202" s="40">
        <v>0</v>
      </c>
      <c r="Q202" s="40">
        <v>0</v>
      </c>
      <c r="R202" s="40">
        <v>0</v>
      </c>
      <c r="S202" s="40">
        <v>0</v>
      </c>
      <c r="T202" s="40">
        <v>0</v>
      </c>
      <c r="U202" s="40">
        <v>0</v>
      </c>
      <c r="V202" s="40">
        <v>0</v>
      </c>
      <c r="W202" s="40">
        <v>0</v>
      </c>
      <c r="X202" s="40">
        <v>0</v>
      </c>
      <c r="Y202" s="40">
        <v>0</v>
      </c>
      <c r="Z202" s="40">
        <v>0</v>
      </c>
      <c r="AA202" s="40">
        <v>0</v>
      </c>
      <c r="AB202" s="40">
        <v>0</v>
      </c>
      <c r="AC202" s="40">
        <v>0</v>
      </c>
      <c r="AD202" s="40">
        <v>0</v>
      </c>
      <c r="AE202" s="40">
        <v>0</v>
      </c>
      <c r="AF202" s="40">
        <v>0</v>
      </c>
      <c r="AG202" s="40">
        <v>0</v>
      </c>
      <c r="AH202" s="40">
        <v>0</v>
      </c>
    </row>
    <row r="203" spans="1:34" s="41" customFormat="1" ht="15" customHeight="1" x14ac:dyDescent="0.2">
      <c r="A203" s="42"/>
      <c r="B203" s="39" t="s">
        <v>102</v>
      </c>
      <c r="C203" s="39" t="s">
        <v>42</v>
      </c>
      <c r="D203" s="40"/>
      <c r="E203" s="40">
        <v>0.33942964122000002</v>
      </c>
      <c r="F203" s="40">
        <v>7.7480719999999993E-5</v>
      </c>
      <c r="G203" s="40">
        <v>0</v>
      </c>
      <c r="H203" s="40">
        <v>0.12882568626999999</v>
      </c>
      <c r="I203" s="40">
        <v>0.36021895539999998</v>
      </c>
      <c r="J203" s="40">
        <v>0</v>
      </c>
      <c r="K203" s="40">
        <v>0</v>
      </c>
      <c r="L203" s="40">
        <v>0</v>
      </c>
      <c r="M203" s="40">
        <v>2.3675017500000002E-3</v>
      </c>
      <c r="N203" s="40">
        <v>3.9095172769999999E-2</v>
      </c>
      <c r="O203" s="40">
        <v>0.28519900345999999</v>
      </c>
      <c r="P203" s="40">
        <v>0</v>
      </c>
      <c r="Q203" s="40">
        <v>1.0131033749999999E-2</v>
      </c>
      <c r="R203" s="40">
        <v>3.2291391259999996E-2</v>
      </c>
      <c r="S203" s="40">
        <v>0.31943268641</v>
      </c>
      <c r="T203" s="40">
        <v>1</v>
      </c>
      <c r="U203" s="40">
        <v>0</v>
      </c>
      <c r="V203" s="40">
        <v>1</v>
      </c>
      <c r="W203" s="40">
        <v>0</v>
      </c>
      <c r="X203" s="40">
        <v>1.3224665800000001E-3</v>
      </c>
      <c r="Y203" s="40">
        <v>0.14415422078000001</v>
      </c>
      <c r="Z203" s="40">
        <v>0.40633452836</v>
      </c>
      <c r="AA203" s="40">
        <v>0</v>
      </c>
      <c r="AB203" s="40">
        <v>0</v>
      </c>
      <c r="AC203" s="40">
        <v>1</v>
      </c>
      <c r="AD203" s="40">
        <v>0</v>
      </c>
      <c r="AE203" s="40">
        <v>0</v>
      </c>
      <c r="AF203" s="40">
        <v>0</v>
      </c>
      <c r="AG203" s="40">
        <v>0</v>
      </c>
      <c r="AH203" s="40">
        <v>0</v>
      </c>
    </row>
    <row r="204" spans="1:34" s="41" customFormat="1" ht="15" customHeight="1" x14ac:dyDescent="0.2">
      <c r="A204" s="42"/>
      <c r="B204" s="39" t="s">
        <v>103</v>
      </c>
      <c r="C204" s="39" t="s">
        <v>42</v>
      </c>
      <c r="D204" s="40"/>
      <c r="E204" s="40">
        <v>1.0440418789999999</v>
      </c>
      <c r="F204" s="40">
        <v>1.0440418789999999</v>
      </c>
      <c r="G204" s="40">
        <v>1.0440418789999999</v>
      </c>
      <c r="H204" s="40">
        <v>1.0440418789999999</v>
      </c>
      <c r="I204" s="40">
        <v>1.0440418789999999</v>
      </c>
      <c r="J204" s="40">
        <v>1.0440418789999999</v>
      </c>
      <c r="K204" s="40">
        <v>1.0440418789999999</v>
      </c>
      <c r="L204" s="40">
        <v>1.0440418789999999</v>
      </c>
      <c r="M204" s="40">
        <v>1.0440418789999999</v>
      </c>
      <c r="N204" s="40">
        <v>1.0440418789999999</v>
      </c>
      <c r="O204" s="40">
        <v>1.0440418789999999</v>
      </c>
      <c r="P204" s="40">
        <v>1.0440418789999999</v>
      </c>
      <c r="Q204" s="40">
        <v>1.0440418789999999</v>
      </c>
      <c r="R204" s="40">
        <v>1.0440418789999999</v>
      </c>
      <c r="S204" s="40">
        <v>1.0440418789999999</v>
      </c>
      <c r="T204" s="40">
        <v>1.0440418789999999</v>
      </c>
      <c r="U204" s="40">
        <v>1.0440418789999999</v>
      </c>
      <c r="V204" s="40">
        <v>1.0440418789999999</v>
      </c>
      <c r="W204" s="40">
        <v>1.0440418789999999</v>
      </c>
      <c r="X204" s="40">
        <v>1.0440418789999999</v>
      </c>
      <c r="Y204" s="40">
        <v>1.0440418789999999</v>
      </c>
      <c r="Z204" s="40">
        <v>1.0440418789999999</v>
      </c>
      <c r="AA204" s="40">
        <v>1.0440418789999999</v>
      </c>
      <c r="AB204" s="40">
        <v>1.0440418789999999</v>
      </c>
      <c r="AC204" s="40">
        <v>1.0440418789999999</v>
      </c>
      <c r="AD204" s="40">
        <v>1.0440418789999999</v>
      </c>
      <c r="AE204" s="40">
        <v>1.0440418789999999</v>
      </c>
      <c r="AF204" s="40">
        <v>1.0440418789999999</v>
      </c>
      <c r="AG204" s="40">
        <v>1.0440418789999999</v>
      </c>
      <c r="AH204" s="40">
        <v>1.0440418789999999</v>
      </c>
    </row>
    <row r="205" spans="1:34" s="41" customFormat="1" ht="15" customHeight="1" x14ac:dyDescent="0.2">
      <c r="A205" s="42"/>
      <c r="B205" s="38" t="s">
        <v>104</v>
      </c>
      <c r="C205" s="42"/>
      <c r="D205" s="40">
        <f>SUM($E$205:$AH$205)</f>
        <v>2432672.1359314113</v>
      </c>
      <c r="E205" s="40">
        <v>1072823.2210948288</v>
      </c>
      <c r="F205" s="40">
        <v>15.843377147392877</v>
      </c>
      <c r="G205" s="40">
        <v>0</v>
      </c>
      <c r="H205" s="40">
        <v>24909.59095400626</v>
      </c>
      <c r="I205" s="40">
        <v>30419.926704891001</v>
      </c>
      <c r="J205" s="40">
        <v>0</v>
      </c>
      <c r="K205" s="40">
        <v>0</v>
      </c>
      <c r="L205" s="40">
        <v>0</v>
      </c>
      <c r="M205" s="40">
        <v>56469.073376572545</v>
      </c>
      <c r="N205" s="40">
        <v>203459.22402681439</v>
      </c>
      <c r="O205" s="40">
        <v>240374.90850998569</v>
      </c>
      <c r="P205" s="40">
        <v>0</v>
      </c>
      <c r="Q205" s="40">
        <v>14695.986203892115</v>
      </c>
      <c r="R205" s="40">
        <v>179483.11690796094</v>
      </c>
      <c r="S205" s="40">
        <v>376244.67775980057</v>
      </c>
      <c r="T205" s="40">
        <v>95405.935478719068</v>
      </c>
      <c r="U205" s="40">
        <v>0</v>
      </c>
      <c r="V205" s="40">
        <v>13686.407634323738</v>
      </c>
      <c r="W205" s="40">
        <v>0</v>
      </c>
      <c r="X205" s="40">
        <v>660.22096389499154</v>
      </c>
      <c r="Y205" s="40">
        <v>87156.818197830798</v>
      </c>
      <c r="Z205" s="40">
        <v>29314.909441039257</v>
      </c>
      <c r="AA205" s="40">
        <v>0</v>
      </c>
      <c r="AB205" s="40">
        <v>0</v>
      </c>
      <c r="AC205" s="40">
        <v>7552.2752997035086</v>
      </c>
      <c r="AD205" s="40">
        <v>0</v>
      </c>
      <c r="AE205" s="40">
        <v>0</v>
      </c>
      <c r="AF205" s="40">
        <v>0</v>
      </c>
      <c r="AG205" s="40">
        <v>0</v>
      </c>
      <c r="AH205" s="40">
        <v>0</v>
      </c>
    </row>
    <row r="206" spans="1:34" s="41" customFormat="1" ht="15" customHeight="1" x14ac:dyDescent="0.2">
      <c r="A206" s="42"/>
      <c r="B206" s="42"/>
      <c r="C206" s="42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F206" s="40"/>
      <c r="AG206" s="40"/>
      <c r="AH206" s="40"/>
    </row>
    <row r="207" spans="1:34" s="41" customFormat="1" ht="15" customHeight="1" x14ac:dyDescent="0.2">
      <c r="A207" s="42"/>
      <c r="B207" s="39" t="s">
        <v>97</v>
      </c>
      <c r="C207" s="39" t="s">
        <v>37</v>
      </c>
      <c r="D207" s="40"/>
      <c r="E207" s="40">
        <v>3027334.99</v>
      </c>
      <c r="F207" s="40">
        <v>195855.69</v>
      </c>
      <c r="G207" s="40">
        <v>1524964.33</v>
      </c>
      <c r="H207" s="40">
        <v>185202.23</v>
      </c>
      <c r="I207" s="40">
        <v>80886.06</v>
      </c>
      <c r="J207" s="40">
        <v>0</v>
      </c>
      <c r="K207" s="40">
        <v>5852408.5700000003</v>
      </c>
      <c r="L207" s="40">
        <v>31787</v>
      </c>
      <c r="M207" s="40">
        <v>22845592.870000001</v>
      </c>
      <c r="N207" s="40">
        <v>4984669.03</v>
      </c>
      <c r="O207" s="40">
        <v>807278.17</v>
      </c>
      <c r="P207" s="40">
        <v>237183.25</v>
      </c>
      <c r="Q207" s="40">
        <v>1389399.23</v>
      </c>
      <c r="R207" s="40">
        <v>5323765.6100000003</v>
      </c>
      <c r="S207" s="40">
        <v>1128166.22</v>
      </c>
      <c r="T207" s="40">
        <v>91381.33</v>
      </c>
      <c r="U207" s="40">
        <v>102820.95</v>
      </c>
      <c r="V207" s="40">
        <v>13109.06</v>
      </c>
      <c r="W207" s="40">
        <v>51394993.969999999</v>
      </c>
      <c r="X207" s="40">
        <v>478174.8</v>
      </c>
      <c r="Y207" s="40">
        <v>579103.36</v>
      </c>
      <c r="Z207" s="40">
        <v>69101.41</v>
      </c>
      <c r="AA207" s="40">
        <v>518553.01</v>
      </c>
      <c r="AB207" s="40">
        <v>30495</v>
      </c>
      <c r="AC207" s="40">
        <v>7233.69</v>
      </c>
      <c r="AD207" s="40">
        <v>129170.66</v>
      </c>
      <c r="AE207" s="40">
        <v>1021760.17</v>
      </c>
      <c r="AF207" s="40">
        <v>6194.22</v>
      </c>
      <c r="AG207" s="40">
        <v>4500</v>
      </c>
      <c r="AH207" s="40">
        <v>1104227.3500000001</v>
      </c>
    </row>
    <row r="208" spans="1:34" s="41" customFormat="1" ht="15" customHeight="1" x14ac:dyDescent="0.2">
      <c r="A208" s="42"/>
      <c r="B208" s="39" t="s">
        <v>98</v>
      </c>
      <c r="C208" s="39" t="s">
        <v>37</v>
      </c>
      <c r="D208" s="40"/>
      <c r="E208" s="40">
        <v>0</v>
      </c>
      <c r="F208" s="40">
        <v>0</v>
      </c>
      <c r="G208" s="40">
        <v>0</v>
      </c>
      <c r="H208" s="40">
        <v>0</v>
      </c>
      <c r="I208" s="40">
        <v>0</v>
      </c>
      <c r="J208" s="40">
        <v>0</v>
      </c>
      <c r="K208" s="40">
        <v>0</v>
      </c>
      <c r="L208" s="40">
        <v>0</v>
      </c>
      <c r="M208" s="40">
        <v>0</v>
      </c>
      <c r="N208" s="40">
        <v>0</v>
      </c>
      <c r="O208" s="40">
        <v>0</v>
      </c>
      <c r="P208" s="40">
        <v>0</v>
      </c>
      <c r="Q208" s="40">
        <v>0</v>
      </c>
      <c r="R208" s="40">
        <v>0</v>
      </c>
      <c r="S208" s="40">
        <v>0</v>
      </c>
      <c r="T208" s="40">
        <v>0</v>
      </c>
      <c r="U208" s="40">
        <v>0</v>
      </c>
      <c r="V208" s="40">
        <v>0</v>
      </c>
      <c r="W208" s="40">
        <v>0</v>
      </c>
      <c r="X208" s="40">
        <v>0</v>
      </c>
      <c r="Y208" s="40">
        <v>0</v>
      </c>
      <c r="Z208" s="40">
        <v>0</v>
      </c>
      <c r="AA208" s="40">
        <v>0</v>
      </c>
      <c r="AB208" s="40">
        <v>0</v>
      </c>
      <c r="AC208" s="40">
        <v>0</v>
      </c>
      <c r="AD208" s="40">
        <v>0</v>
      </c>
      <c r="AE208" s="40">
        <v>0</v>
      </c>
      <c r="AF208" s="40">
        <v>0</v>
      </c>
      <c r="AG208" s="40">
        <v>0</v>
      </c>
      <c r="AH208" s="40">
        <v>0</v>
      </c>
    </row>
    <row r="209" spans="1:34" s="41" customFormat="1" ht="15" customHeight="1" x14ac:dyDescent="0.2">
      <c r="A209" s="42"/>
      <c r="B209" s="39" t="s">
        <v>105</v>
      </c>
      <c r="C209" s="39" t="s">
        <v>42</v>
      </c>
      <c r="D209" s="40"/>
      <c r="E209" s="40">
        <v>0.66057035877000003</v>
      </c>
      <c r="F209" s="40">
        <v>0.99992251927000009</v>
      </c>
      <c r="G209" s="40">
        <v>0</v>
      </c>
      <c r="H209" s="40">
        <v>0.87117431371999998</v>
      </c>
      <c r="I209" s="40">
        <v>0.63978104458999996</v>
      </c>
      <c r="J209" s="40">
        <v>0</v>
      </c>
      <c r="K209" s="40">
        <v>1</v>
      </c>
      <c r="L209" s="40">
        <v>1</v>
      </c>
      <c r="M209" s="40">
        <v>0.99763249824</v>
      </c>
      <c r="N209" s="40">
        <v>0.96090482721999992</v>
      </c>
      <c r="O209" s="40">
        <v>0.71480099653000007</v>
      </c>
      <c r="P209" s="40">
        <v>0</v>
      </c>
      <c r="Q209" s="40">
        <v>0.98986896623999998</v>
      </c>
      <c r="R209" s="40">
        <v>0.96770860873000009</v>
      </c>
      <c r="S209" s="40">
        <v>0.68056731358</v>
      </c>
      <c r="T209" s="40">
        <v>0</v>
      </c>
      <c r="U209" s="40">
        <v>1</v>
      </c>
      <c r="V209" s="40">
        <v>0</v>
      </c>
      <c r="W209" s="40">
        <v>1</v>
      </c>
      <c r="X209" s="40">
        <v>0.9986775334100001</v>
      </c>
      <c r="Y209" s="40">
        <v>0.85584577920999994</v>
      </c>
      <c r="Z209" s="40">
        <v>0.59366547163000005</v>
      </c>
      <c r="AA209" s="40">
        <v>1</v>
      </c>
      <c r="AB209" s="40">
        <v>1</v>
      </c>
      <c r="AC209" s="40">
        <v>0</v>
      </c>
      <c r="AD209" s="40">
        <v>0</v>
      </c>
      <c r="AE209" s="40">
        <v>0</v>
      </c>
      <c r="AF209" s="40">
        <v>0</v>
      </c>
      <c r="AG209" s="40">
        <v>0</v>
      </c>
      <c r="AH209" s="40">
        <v>0</v>
      </c>
    </row>
    <row r="210" spans="1:34" s="41" customFormat="1" ht="15" customHeight="1" x14ac:dyDescent="0.2">
      <c r="A210" s="42"/>
      <c r="B210" s="39" t="s">
        <v>106</v>
      </c>
      <c r="C210" s="39" t="s">
        <v>42</v>
      </c>
      <c r="D210" s="40"/>
      <c r="E210" s="40">
        <v>1.0667135640000001</v>
      </c>
      <c r="F210" s="40">
        <v>1.0667135640000001</v>
      </c>
      <c r="G210" s="40">
        <v>1.0667135640000001</v>
      </c>
      <c r="H210" s="40">
        <v>1.0667135640000001</v>
      </c>
      <c r="I210" s="40">
        <v>1.0667135640000001</v>
      </c>
      <c r="J210" s="40">
        <v>1.0667135640000001</v>
      </c>
      <c r="K210" s="40">
        <v>1.0667135640000001</v>
      </c>
      <c r="L210" s="40">
        <v>1.0667135640000001</v>
      </c>
      <c r="M210" s="40">
        <v>1.0667135640000001</v>
      </c>
      <c r="N210" s="40">
        <v>1.0667135640000001</v>
      </c>
      <c r="O210" s="40">
        <v>1.0667135640000001</v>
      </c>
      <c r="P210" s="40">
        <v>1.0667135640000001</v>
      </c>
      <c r="Q210" s="40">
        <v>1.0667135640000001</v>
      </c>
      <c r="R210" s="40">
        <v>1.0667135640000001</v>
      </c>
      <c r="S210" s="40">
        <v>1.0667135640000001</v>
      </c>
      <c r="T210" s="40">
        <v>1.0667135640000001</v>
      </c>
      <c r="U210" s="40">
        <v>1.0667135640000001</v>
      </c>
      <c r="V210" s="40">
        <v>1.0667135640000001</v>
      </c>
      <c r="W210" s="40">
        <v>1.0667135640000001</v>
      </c>
      <c r="X210" s="40">
        <v>1.0667135640000001</v>
      </c>
      <c r="Y210" s="40">
        <v>1.0667135640000001</v>
      </c>
      <c r="Z210" s="40">
        <v>1.0667135640000001</v>
      </c>
      <c r="AA210" s="40">
        <v>1.0667135640000001</v>
      </c>
      <c r="AB210" s="40">
        <v>1.0667135640000001</v>
      </c>
      <c r="AC210" s="40">
        <v>1.0667135640000001</v>
      </c>
      <c r="AD210" s="40">
        <v>1.0667135640000001</v>
      </c>
      <c r="AE210" s="40">
        <v>1.0667135640000001</v>
      </c>
      <c r="AF210" s="40">
        <v>1.0667135640000001</v>
      </c>
      <c r="AG210" s="40">
        <v>1.0667135640000001</v>
      </c>
      <c r="AH210" s="40">
        <v>1.0667135640000001</v>
      </c>
    </row>
    <row r="211" spans="1:34" s="41" customFormat="1" ht="15" customHeight="1" x14ac:dyDescent="0.2">
      <c r="A211" s="42"/>
      <c r="B211" s="38" t="s">
        <v>107</v>
      </c>
      <c r="C211" s="42"/>
      <c r="D211" s="40">
        <f>SUM($E$211:$AH$211)</f>
        <v>103265617.32841814</v>
      </c>
      <c r="E211" s="40">
        <v>2133179.3949339446</v>
      </c>
      <c r="F211" s="40">
        <v>208905.73368661862</v>
      </c>
      <c r="G211" s="40">
        <v>0</v>
      </c>
      <c r="H211" s="40">
        <v>172107.2205707203</v>
      </c>
      <c r="I211" s="40">
        <v>55201.752730899701</v>
      </c>
      <c r="J211" s="40">
        <v>0</v>
      </c>
      <c r="K211" s="40">
        <v>6242843.6036888445</v>
      </c>
      <c r="L211" s="40">
        <v>33907.624058868001</v>
      </c>
      <c r="M211" s="40">
        <v>24312008.475432333</v>
      </c>
      <c r="N211" s="40">
        <v>5109336.6637194557</v>
      </c>
      <c r="O211" s="40">
        <v>615539.851541635</v>
      </c>
      <c r="P211" s="40">
        <v>0</v>
      </c>
      <c r="Q211" s="40">
        <v>1467075.8904506585</v>
      </c>
      <c r="R211" s="40">
        <v>5495552.3406403922</v>
      </c>
      <c r="S211" s="40">
        <v>819015.26463834336</v>
      </c>
      <c r="T211" s="40">
        <v>0</v>
      </c>
      <c r="U211" s="40">
        <v>109680.50202836581</v>
      </c>
      <c r="V211" s="40">
        <v>0</v>
      </c>
      <c r="W211" s="40">
        <v>54823737.18949721</v>
      </c>
      <c r="X211" s="40">
        <v>509400.98725618608</v>
      </c>
      <c r="Y211" s="40">
        <v>528687.95421265927</v>
      </c>
      <c r="Z211" s="40">
        <v>43759.919776798524</v>
      </c>
      <c r="AA211" s="40">
        <v>553147.52942002763</v>
      </c>
      <c r="AB211" s="40">
        <v>32529.430134180002</v>
      </c>
      <c r="AC211" s="40">
        <v>0</v>
      </c>
      <c r="AD211" s="40">
        <v>0</v>
      </c>
      <c r="AE211" s="40">
        <v>0</v>
      </c>
      <c r="AF211" s="40">
        <v>0</v>
      </c>
      <c r="AG211" s="40">
        <v>0</v>
      </c>
      <c r="AH211" s="40">
        <v>0</v>
      </c>
    </row>
    <row r="212" spans="1:34" s="41" customFormat="1" ht="15" customHeight="1" x14ac:dyDescent="0.2">
      <c r="A212" s="42"/>
      <c r="B212" s="42"/>
      <c r="C212" s="42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F212" s="40"/>
      <c r="AG212" s="40"/>
      <c r="AH212" s="40"/>
    </row>
    <row r="213" spans="1:34" s="41" customFormat="1" ht="15" customHeight="1" x14ac:dyDescent="0.2">
      <c r="A213" s="42"/>
      <c r="B213" s="39" t="s">
        <v>101</v>
      </c>
      <c r="C213" s="39" t="s">
        <v>37</v>
      </c>
      <c r="D213" s="40"/>
      <c r="E213" s="40">
        <v>0</v>
      </c>
      <c r="F213" s="40">
        <v>0</v>
      </c>
      <c r="G213" s="40">
        <v>1562125.2662042794</v>
      </c>
      <c r="H213" s="40">
        <v>0</v>
      </c>
      <c r="I213" s="40">
        <v>0</v>
      </c>
      <c r="J213" s="40">
        <v>0</v>
      </c>
      <c r="K213" s="40">
        <v>0</v>
      </c>
      <c r="L213" s="40">
        <v>0</v>
      </c>
      <c r="M213" s="40">
        <v>0</v>
      </c>
      <c r="N213" s="40">
        <v>0</v>
      </c>
      <c r="O213" s="40">
        <v>0</v>
      </c>
      <c r="P213" s="40">
        <v>242963.0255977503</v>
      </c>
      <c r="Q213" s="40">
        <v>0</v>
      </c>
      <c r="R213" s="40">
        <v>0</v>
      </c>
      <c r="S213" s="40">
        <v>0</v>
      </c>
      <c r="T213" s="40">
        <v>0</v>
      </c>
      <c r="U213" s="40">
        <v>0</v>
      </c>
      <c r="V213" s="40">
        <v>0</v>
      </c>
      <c r="W213" s="40">
        <v>0</v>
      </c>
      <c r="X213" s="40">
        <v>0</v>
      </c>
      <c r="Y213" s="40">
        <v>0</v>
      </c>
      <c r="Z213" s="40">
        <v>0</v>
      </c>
      <c r="AA213" s="40">
        <v>0</v>
      </c>
      <c r="AB213" s="40">
        <v>0</v>
      </c>
      <c r="AC213" s="40">
        <v>0</v>
      </c>
      <c r="AD213" s="40">
        <v>132318.34192363205</v>
      </c>
      <c r="AE213" s="40">
        <v>1046658.8274613477</v>
      </c>
      <c r="AF213" s="40">
        <v>6345.1632120653412</v>
      </c>
      <c r="AG213" s="40">
        <v>4609.6577865000008</v>
      </c>
      <c r="AH213" s="40">
        <v>1131135.6004430582</v>
      </c>
    </row>
    <row r="214" spans="1:34" s="41" customFormat="1" ht="15" customHeight="1" x14ac:dyDescent="0.2">
      <c r="A214" s="42"/>
      <c r="B214" s="39" t="s">
        <v>104</v>
      </c>
      <c r="C214" s="39" t="s">
        <v>37</v>
      </c>
      <c r="D214" s="40"/>
      <c r="E214" s="40">
        <v>1072823.2210948288</v>
      </c>
      <c r="F214" s="40">
        <v>15.843377147392877</v>
      </c>
      <c r="G214" s="40">
        <v>0</v>
      </c>
      <c r="H214" s="40">
        <v>24909.59095400626</v>
      </c>
      <c r="I214" s="40">
        <v>30419.926704891001</v>
      </c>
      <c r="J214" s="40">
        <v>0</v>
      </c>
      <c r="K214" s="40">
        <v>0</v>
      </c>
      <c r="L214" s="40">
        <v>0</v>
      </c>
      <c r="M214" s="40">
        <v>56469.073376572545</v>
      </c>
      <c r="N214" s="40">
        <v>203459.22402681439</v>
      </c>
      <c r="O214" s="40">
        <v>240374.90850998569</v>
      </c>
      <c r="P214" s="40">
        <v>0</v>
      </c>
      <c r="Q214" s="40">
        <v>14695.986203892115</v>
      </c>
      <c r="R214" s="40">
        <v>179483.11690796094</v>
      </c>
      <c r="S214" s="40">
        <v>376244.67775980057</v>
      </c>
      <c r="T214" s="40">
        <v>95405.935478719068</v>
      </c>
      <c r="U214" s="40">
        <v>0</v>
      </c>
      <c r="V214" s="40">
        <v>13686.407634323738</v>
      </c>
      <c r="W214" s="40">
        <v>0</v>
      </c>
      <c r="X214" s="40">
        <v>660.22096389499154</v>
      </c>
      <c r="Y214" s="40">
        <v>87156.818197830798</v>
      </c>
      <c r="Z214" s="40">
        <v>29314.909441039257</v>
      </c>
      <c r="AA214" s="40">
        <v>0</v>
      </c>
      <c r="AB214" s="40">
        <v>0</v>
      </c>
      <c r="AC214" s="40">
        <v>7552.2752997035086</v>
      </c>
      <c r="AD214" s="40">
        <v>0</v>
      </c>
      <c r="AE214" s="40">
        <v>0</v>
      </c>
      <c r="AF214" s="40">
        <v>0</v>
      </c>
      <c r="AG214" s="40">
        <v>0</v>
      </c>
      <c r="AH214" s="40">
        <v>0</v>
      </c>
    </row>
    <row r="215" spans="1:34" s="41" customFormat="1" ht="15" customHeight="1" x14ac:dyDescent="0.2">
      <c r="A215" s="42"/>
      <c r="B215" s="39" t="s">
        <v>107</v>
      </c>
      <c r="C215" s="39" t="s">
        <v>37</v>
      </c>
      <c r="D215" s="40"/>
      <c r="E215" s="40">
        <v>2133179.3949339446</v>
      </c>
      <c r="F215" s="40">
        <v>208905.73368661862</v>
      </c>
      <c r="G215" s="40">
        <v>0</v>
      </c>
      <c r="H215" s="40">
        <v>172107.2205707203</v>
      </c>
      <c r="I215" s="40">
        <v>55201.752730899701</v>
      </c>
      <c r="J215" s="40">
        <v>0</v>
      </c>
      <c r="K215" s="40">
        <v>6242843.6036888445</v>
      </c>
      <c r="L215" s="40">
        <v>33907.624058868001</v>
      </c>
      <c r="M215" s="40">
        <v>24312008.475432333</v>
      </c>
      <c r="N215" s="40">
        <v>5109336.6637194557</v>
      </c>
      <c r="O215" s="40">
        <v>615539.851541635</v>
      </c>
      <c r="P215" s="40">
        <v>0</v>
      </c>
      <c r="Q215" s="40">
        <v>1467075.8904506585</v>
      </c>
      <c r="R215" s="40">
        <v>5495552.3406403922</v>
      </c>
      <c r="S215" s="40">
        <v>819015.26463834336</v>
      </c>
      <c r="T215" s="40">
        <v>0</v>
      </c>
      <c r="U215" s="40">
        <v>109680.50202836581</v>
      </c>
      <c r="V215" s="40">
        <v>0</v>
      </c>
      <c r="W215" s="40">
        <v>54823737.18949721</v>
      </c>
      <c r="X215" s="40">
        <v>509400.98725618608</v>
      </c>
      <c r="Y215" s="40">
        <v>528687.95421265927</v>
      </c>
      <c r="Z215" s="40">
        <v>43759.919776798524</v>
      </c>
      <c r="AA215" s="40">
        <v>553147.52942002763</v>
      </c>
      <c r="AB215" s="40">
        <v>32529.430134180002</v>
      </c>
      <c r="AC215" s="40">
        <v>0</v>
      </c>
      <c r="AD215" s="40">
        <v>0</v>
      </c>
      <c r="AE215" s="40">
        <v>0</v>
      </c>
      <c r="AF215" s="40">
        <v>0</v>
      </c>
      <c r="AG215" s="40">
        <v>0</v>
      </c>
      <c r="AH215" s="40">
        <v>0</v>
      </c>
    </row>
    <row r="216" spans="1:34" s="41" customFormat="1" ht="15" customHeight="1" x14ac:dyDescent="0.2">
      <c r="A216" s="42"/>
      <c r="B216" s="38" t="s">
        <v>108</v>
      </c>
      <c r="C216" s="42"/>
      <c r="D216" s="40">
        <f>SUM($E$216:$AH$216)</f>
        <v>109824445.3469782</v>
      </c>
      <c r="E216" s="40">
        <v>3206002.6160287736</v>
      </c>
      <c r="F216" s="40">
        <v>208921.57706376602</v>
      </c>
      <c r="G216" s="40">
        <v>1562125.2662042794</v>
      </c>
      <c r="H216" s="40">
        <v>197016.81152472657</v>
      </c>
      <c r="I216" s="40">
        <v>85621.679435790706</v>
      </c>
      <c r="J216" s="40">
        <v>0</v>
      </c>
      <c r="K216" s="40">
        <v>6242843.6036888445</v>
      </c>
      <c r="L216" s="40">
        <v>33907.624058868001</v>
      </c>
      <c r="M216" s="40">
        <v>24368477.548808906</v>
      </c>
      <c r="N216" s="40">
        <v>5312795.8877462698</v>
      </c>
      <c r="O216" s="40">
        <v>855914.76005162066</v>
      </c>
      <c r="P216" s="40">
        <v>242963.0255977503</v>
      </c>
      <c r="Q216" s="40">
        <v>1481771.8766545507</v>
      </c>
      <c r="R216" s="40">
        <v>5675035.4575483529</v>
      </c>
      <c r="S216" s="40">
        <v>1195259.9423981439</v>
      </c>
      <c r="T216" s="40">
        <v>95405.935478719068</v>
      </c>
      <c r="U216" s="40">
        <v>109680.50202836581</v>
      </c>
      <c r="V216" s="40">
        <v>13686.407634323738</v>
      </c>
      <c r="W216" s="40">
        <v>54823737.18949721</v>
      </c>
      <c r="X216" s="40">
        <v>510061.20822008105</v>
      </c>
      <c r="Y216" s="40">
        <v>615844.77241049008</v>
      </c>
      <c r="Z216" s="40">
        <v>73074.829217837774</v>
      </c>
      <c r="AA216" s="40">
        <v>553147.52942002763</v>
      </c>
      <c r="AB216" s="40">
        <v>32529.430134180002</v>
      </c>
      <c r="AC216" s="40">
        <v>7552.2752997035086</v>
      </c>
      <c r="AD216" s="40">
        <v>132318.34192363205</v>
      </c>
      <c r="AE216" s="40">
        <v>1046658.8274613477</v>
      </c>
      <c r="AF216" s="40">
        <v>6345.1632120653412</v>
      </c>
      <c r="AG216" s="40">
        <v>4609.6577865000008</v>
      </c>
      <c r="AH216" s="40">
        <v>1131135.6004430582</v>
      </c>
    </row>
    <row r="217" spans="1:34" ht="15" customHeight="1" x14ac:dyDescent="0.2"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</row>
    <row r="218" spans="1:34" ht="15" customHeight="1" x14ac:dyDescent="0.2"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</row>
    <row r="219" spans="1:34" ht="15" customHeight="1" x14ac:dyDescent="0.2"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</row>
    <row r="220" spans="1:34" ht="15" customHeight="1" x14ac:dyDescent="0.2"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</row>
    <row r="221" spans="1:34" s="51" customFormat="1" ht="15" customHeight="1" x14ac:dyDescent="0.2">
      <c r="A221" s="48" t="s">
        <v>109</v>
      </c>
      <c r="B221" s="49" t="s">
        <v>97</v>
      </c>
      <c r="C221" s="49" t="s">
        <v>37</v>
      </c>
      <c r="D221" s="50">
        <f>SUM(E221:AH221)</f>
        <v>102143552.05999999</v>
      </c>
      <c r="E221" s="50">
        <v>3027334.99</v>
      </c>
      <c r="F221" s="50">
        <v>195855.69</v>
      </c>
      <c r="G221" s="50">
        <v>1524964.33</v>
      </c>
      <c r="H221" s="50">
        <v>185202.23</v>
      </c>
      <c r="I221" s="50">
        <v>80886.06</v>
      </c>
      <c r="J221" s="50">
        <v>0</v>
      </c>
      <c r="K221" s="50">
        <v>5852408.5700000003</v>
      </c>
      <c r="L221" s="50">
        <v>31787</v>
      </c>
      <c r="M221" s="50">
        <v>22845592.870000001</v>
      </c>
      <c r="N221" s="50">
        <v>4984669.03</v>
      </c>
      <c r="O221" s="50">
        <v>807278.17</v>
      </c>
      <c r="P221" s="50">
        <v>237183.25</v>
      </c>
      <c r="Q221" s="50">
        <v>1389399.23</v>
      </c>
      <c r="R221" s="50">
        <v>5323765.6100000003</v>
      </c>
      <c r="S221" s="50">
        <v>1128166.22</v>
      </c>
      <c r="T221" s="50">
        <v>91381.33</v>
      </c>
      <c r="U221" s="50">
        <v>102820.95</v>
      </c>
      <c r="V221" s="50">
        <v>13109.06</v>
      </c>
      <c r="W221" s="50">
        <v>51394993.969999999</v>
      </c>
      <c r="X221" s="50">
        <v>478174.8</v>
      </c>
      <c r="Y221" s="50">
        <v>579103.36</v>
      </c>
      <c r="Z221" s="50">
        <v>69101.41</v>
      </c>
      <c r="AA221" s="50">
        <v>518553.01</v>
      </c>
      <c r="AB221" s="50">
        <v>30495</v>
      </c>
      <c r="AC221" s="50">
        <v>7233.69</v>
      </c>
      <c r="AD221" s="50">
        <v>129170.66</v>
      </c>
      <c r="AE221" s="50">
        <v>0</v>
      </c>
      <c r="AF221" s="50">
        <v>6194.22</v>
      </c>
      <c r="AG221" s="50">
        <v>4500</v>
      </c>
      <c r="AH221" s="50">
        <v>1104227.3500000001</v>
      </c>
    </row>
    <row r="222" spans="1:34" s="51" customFormat="1" ht="15" customHeight="1" x14ac:dyDescent="0.2">
      <c r="A222" s="49"/>
      <c r="B222" s="49" t="s">
        <v>98</v>
      </c>
      <c r="C222" s="49" t="s">
        <v>37</v>
      </c>
      <c r="D222" s="50"/>
      <c r="E222" s="50">
        <v>0</v>
      </c>
      <c r="F222" s="50">
        <v>0</v>
      </c>
      <c r="G222" s="50">
        <v>0</v>
      </c>
      <c r="H222" s="50">
        <v>0</v>
      </c>
      <c r="I222" s="50">
        <v>0</v>
      </c>
      <c r="J222" s="50">
        <v>0</v>
      </c>
      <c r="K222" s="50">
        <v>0</v>
      </c>
      <c r="L222" s="50">
        <v>0</v>
      </c>
      <c r="M222" s="50">
        <v>0</v>
      </c>
      <c r="N222" s="50">
        <v>0</v>
      </c>
      <c r="O222" s="50">
        <v>0</v>
      </c>
      <c r="P222" s="50">
        <v>0</v>
      </c>
      <c r="Q222" s="50">
        <v>0</v>
      </c>
      <c r="R222" s="50">
        <v>0</v>
      </c>
      <c r="S222" s="50">
        <v>0</v>
      </c>
      <c r="T222" s="50">
        <v>0</v>
      </c>
      <c r="U222" s="50">
        <v>0</v>
      </c>
      <c r="V222" s="50">
        <v>0</v>
      </c>
      <c r="W222" s="50">
        <v>0</v>
      </c>
      <c r="X222" s="50">
        <v>0</v>
      </c>
      <c r="Y222" s="50">
        <v>0</v>
      </c>
      <c r="Z222" s="50">
        <v>0</v>
      </c>
      <c r="AA222" s="50">
        <v>0</v>
      </c>
      <c r="AB222" s="50">
        <v>0</v>
      </c>
      <c r="AC222" s="50">
        <v>0</v>
      </c>
      <c r="AD222" s="50">
        <v>0</v>
      </c>
      <c r="AE222" s="50">
        <v>0</v>
      </c>
      <c r="AF222" s="50">
        <v>0</v>
      </c>
      <c r="AG222" s="50">
        <v>0</v>
      </c>
      <c r="AH222" s="50">
        <v>0</v>
      </c>
    </row>
    <row r="223" spans="1:34" s="51" customFormat="1" ht="15" customHeight="1" x14ac:dyDescent="0.2">
      <c r="A223" s="49"/>
      <c r="B223" s="49" t="s">
        <v>99</v>
      </c>
      <c r="C223" s="49" t="s">
        <v>42</v>
      </c>
      <c r="D223" s="50"/>
      <c r="E223" s="50">
        <v>0</v>
      </c>
      <c r="F223" s="50">
        <v>0</v>
      </c>
      <c r="G223" s="50">
        <v>1</v>
      </c>
      <c r="H223" s="50">
        <v>0</v>
      </c>
      <c r="I223" s="50">
        <v>0</v>
      </c>
      <c r="J223" s="50">
        <v>1</v>
      </c>
      <c r="K223" s="50">
        <v>0</v>
      </c>
      <c r="L223" s="50">
        <v>0</v>
      </c>
      <c r="M223" s="50">
        <v>0</v>
      </c>
      <c r="N223" s="50">
        <v>0</v>
      </c>
      <c r="O223" s="50">
        <v>0</v>
      </c>
      <c r="P223" s="50">
        <v>1</v>
      </c>
      <c r="Q223" s="50">
        <v>0</v>
      </c>
      <c r="R223" s="50">
        <v>0</v>
      </c>
      <c r="S223" s="50">
        <v>0</v>
      </c>
      <c r="T223" s="50">
        <v>0</v>
      </c>
      <c r="U223" s="50">
        <v>0</v>
      </c>
      <c r="V223" s="50">
        <v>0</v>
      </c>
      <c r="W223" s="50">
        <v>0</v>
      </c>
      <c r="X223" s="50">
        <v>0</v>
      </c>
      <c r="Y223" s="50">
        <v>0</v>
      </c>
      <c r="Z223" s="50">
        <v>0</v>
      </c>
      <c r="AA223" s="50">
        <v>0</v>
      </c>
      <c r="AB223" s="50">
        <v>0</v>
      </c>
      <c r="AC223" s="50">
        <v>0</v>
      </c>
      <c r="AD223" s="50">
        <v>1</v>
      </c>
      <c r="AE223" s="50">
        <v>1</v>
      </c>
      <c r="AF223" s="50">
        <v>1</v>
      </c>
      <c r="AG223" s="50">
        <v>1</v>
      </c>
      <c r="AH223" s="50">
        <v>1</v>
      </c>
    </row>
    <row r="224" spans="1:34" s="51" customFormat="1" ht="15" customHeight="1" x14ac:dyDescent="0.2">
      <c r="A224" s="49"/>
      <c r="B224" s="49" t="s">
        <v>100</v>
      </c>
      <c r="C224" s="49" t="s">
        <v>42</v>
      </c>
      <c r="D224" s="50"/>
      <c r="E224" s="50">
        <v>1.0243683970000002</v>
      </c>
      <c r="F224" s="50">
        <v>1.0243683970000002</v>
      </c>
      <c r="G224" s="50">
        <v>1.0243683970000002</v>
      </c>
      <c r="H224" s="50">
        <v>1.0243683970000002</v>
      </c>
      <c r="I224" s="50">
        <v>1.0243683970000002</v>
      </c>
      <c r="J224" s="50">
        <v>1.0243683970000002</v>
      </c>
      <c r="K224" s="50">
        <v>1.0243683970000002</v>
      </c>
      <c r="L224" s="50">
        <v>1.0243683970000002</v>
      </c>
      <c r="M224" s="50">
        <v>1.0243683970000002</v>
      </c>
      <c r="N224" s="50">
        <v>1.0243683970000002</v>
      </c>
      <c r="O224" s="50">
        <v>1.0243683970000002</v>
      </c>
      <c r="P224" s="50">
        <v>1.0243683970000002</v>
      </c>
      <c r="Q224" s="50">
        <v>1.0243683970000002</v>
      </c>
      <c r="R224" s="50">
        <v>1.0243683970000002</v>
      </c>
      <c r="S224" s="50">
        <v>1.0243683970000002</v>
      </c>
      <c r="T224" s="50">
        <v>1.0243683970000002</v>
      </c>
      <c r="U224" s="50">
        <v>1.0243683970000002</v>
      </c>
      <c r="V224" s="50">
        <v>1.0243683970000002</v>
      </c>
      <c r="W224" s="50">
        <v>1.0243683970000002</v>
      </c>
      <c r="X224" s="50">
        <v>1.0243683970000002</v>
      </c>
      <c r="Y224" s="50">
        <v>1.0243683970000002</v>
      </c>
      <c r="Z224" s="50">
        <v>1.0243683970000002</v>
      </c>
      <c r="AA224" s="50">
        <v>1.0243683970000002</v>
      </c>
      <c r="AB224" s="50">
        <v>1.0243683970000002</v>
      </c>
      <c r="AC224" s="50">
        <v>1.0243683970000002</v>
      </c>
      <c r="AD224" s="50">
        <v>1.0243683970000002</v>
      </c>
      <c r="AE224" s="50">
        <v>1.0243683970000002</v>
      </c>
      <c r="AF224" s="50">
        <v>1.0243683970000002</v>
      </c>
      <c r="AG224" s="50">
        <v>1.0243683970000002</v>
      </c>
      <c r="AH224" s="50">
        <v>1.0243683970000002</v>
      </c>
    </row>
    <row r="225" spans="1:34" s="51" customFormat="1" ht="15" customHeight="1" x14ac:dyDescent="0.2">
      <c r="A225" s="49"/>
      <c r="B225" s="48" t="s">
        <v>101</v>
      </c>
      <c r="C225" s="49"/>
      <c r="D225" s="50">
        <f>SUM($E$225:$AH$225)</f>
        <v>3079497.0551672848</v>
      </c>
      <c r="E225" s="50">
        <v>0</v>
      </c>
      <c r="F225" s="50">
        <v>0</v>
      </c>
      <c r="G225" s="50">
        <v>1562125.2662042794</v>
      </c>
      <c r="H225" s="50">
        <v>0</v>
      </c>
      <c r="I225" s="50">
        <v>0</v>
      </c>
      <c r="J225" s="50">
        <v>0</v>
      </c>
      <c r="K225" s="50">
        <v>0</v>
      </c>
      <c r="L225" s="50">
        <v>0</v>
      </c>
      <c r="M225" s="50">
        <v>0</v>
      </c>
      <c r="N225" s="50">
        <v>0</v>
      </c>
      <c r="O225" s="50">
        <v>0</v>
      </c>
      <c r="P225" s="50">
        <v>242963.0255977503</v>
      </c>
      <c r="Q225" s="50">
        <v>0</v>
      </c>
      <c r="R225" s="50">
        <v>0</v>
      </c>
      <c r="S225" s="50">
        <v>0</v>
      </c>
      <c r="T225" s="50">
        <v>0</v>
      </c>
      <c r="U225" s="50">
        <v>0</v>
      </c>
      <c r="V225" s="50">
        <v>0</v>
      </c>
      <c r="W225" s="50">
        <v>0</v>
      </c>
      <c r="X225" s="50">
        <v>0</v>
      </c>
      <c r="Y225" s="50">
        <v>0</v>
      </c>
      <c r="Z225" s="50">
        <v>0</v>
      </c>
      <c r="AA225" s="50">
        <v>0</v>
      </c>
      <c r="AB225" s="50">
        <v>0</v>
      </c>
      <c r="AC225" s="50">
        <v>0</v>
      </c>
      <c r="AD225" s="50">
        <v>132318.34192363205</v>
      </c>
      <c r="AE225" s="50">
        <v>0</v>
      </c>
      <c r="AF225" s="50">
        <v>6345.1632120653412</v>
      </c>
      <c r="AG225" s="50">
        <v>4609.6577865000008</v>
      </c>
      <c r="AH225" s="50">
        <v>1131135.6004430582</v>
      </c>
    </row>
    <row r="226" spans="1:34" s="51" customFormat="1" ht="15" customHeight="1" x14ac:dyDescent="0.2">
      <c r="A226" s="49"/>
      <c r="B226" s="49"/>
      <c r="C226" s="49"/>
      <c r="D226" s="50"/>
      <c r="E226" s="50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50"/>
      <c r="T226" s="50"/>
      <c r="U226" s="50"/>
      <c r="V226" s="50"/>
      <c r="W226" s="50"/>
      <c r="X226" s="50"/>
      <c r="Y226" s="50"/>
      <c r="Z226" s="50"/>
      <c r="AA226" s="50"/>
      <c r="AB226" s="50"/>
      <c r="AC226" s="50"/>
      <c r="AD226" s="50"/>
      <c r="AE226" s="50"/>
      <c r="AF226" s="50"/>
      <c r="AG226" s="50"/>
      <c r="AH226" s="50"/>
    </row>
    <row r="227" spans="1:34" s="51" customFormat="1" ht="15" customHeight="1" x14ac:dyDescent="0.2">
      <c r="A227" s="49"/>
      <c r="B227" s="49" t="s">
        <v>97</v>
      </c>
      <c r="C227" s="49" t="s">
        <v>37</v>
      </c>
      <c r="D227" s="50"/>
      <c r="E227" s="50">
        <v>3027334.99</v>
      </c>
      <c r="F227" s="50">
        <v>195855.69</v>
      </c>
      <c r="G227" s="50">
        <v>1524964.33</v>
      </c>
      <c r="H227" s="50">
        <v>185202.23</v>
      </c>
      <c r="I227" s="50">
        <v>80886.06</v>
      </c>
      <c r="J227" s="50">
        <v>0</v>
      </c>
      <c r="K227" s="50">
        <v>5852408.5700000003</v>
      </c>
      <c r="L227" s="50">
        <v>31787</v>
      </c>
      <c r="M227" s="50">
        <v>22845592.870000001</v>
      </c>
      <c r="N227" s="50">
        <v>4984669.03</v>
      </c>
      <c r="O227" s="50">
        <v>807278.17</v>
      </c>
      <c r="P227" s="50">
        <v>237183.25</v>
      </c>
      <c r="Q227" s="50">
        <v>1389399.23</v>
      </c>
      <c r="R227" s="50">
        <v>5323765.6100000003</v>
      </c>
      <c r="S227" s="50">
        <v>1128166.22</v>
      </c>
      <c r="T227" s="50">
        <v>91381.33</v>
      </c>
      <c r="U227" s="50">
        <v>102820.95</v>
      </c>
      <c r="V227" s="50">
        <v>13109.06</v>
      </c>
      <c r="W227" s="50">
        <v>51394993.969999999</v>
      </c>
      <c r="X227" s="50">
        <v>478174.8</v>
      </c>
      <c r="Y227" s="50">
        <v>579103.36</v>
      </c>
      <c r="Z227" s="50">
        <v>69101.41</v>
      </c>
      <c r="AA227" s="50">
        <v>518553.01</v>
      </c>
      <c r="AB227" s="50">
        <v>30495</v>
      </c>
      <c r="AC227" s="50">
        <v>7233.69</v>
      </c>
      <c r="AD227" s="50">
        <v>129170.66</v>
      </c>
      <c r="AE227" s="50">
        <v>0</v>
      </c>
      <c r="AF227" s="50">
        <v>6194.22</v>
      </c>
      <c r="AG227" s="50">
        <v>4500</v>
      </c>
      <c r="AH227" s="50">
        <v>1104227.3500000001</v>
      </c>
    </row>
    <row r="228" spans="1:34" s="51" customFormat="1" ht="15" customHeight="1" x14ac:dyDescent="0.2">
      <c r="A228" s="49"/>
      <c r="B228" s="49" t="s">
        <v>98</v>
      </c>
      <c r="C228" s="49" t="s">
        <v>37</v>
      </c>
      <c r="D228" s="50"/>
      <c r="E228" s="50">
        <v>0</v>
      </c>
      <c r="F228" s="50">
        <v>0</v>
      </c>
      <c r="G228" s="50">
        <v>0</v>
      </c>
      <c r="H228" s="50">
        <v>0</v>
      </c>
      <c r="I228" s="50">
        <v>0</v>
      </c>
      <c r="J228" s="50">
        <v>0</v>
      </c>
      <c r="K228" s="50">
        <v>0</v>
      </c>
      <c r="L228" s="50">
        <v>0</v>
      </c>
      <c r="M228" s="50">
        <v>0</v>
      </c>
      <c r="N228" s="50">
        <v>0</v>
      </c>
      <c r="O228" s="50">
        <v>0</v>
      </c>
      <c r="P228" s="50">
        <v>0</v>
      </c>
      <c r="Q228" s="50">
        <v>0</v>
      </c>
      <c r="R228" s="50">
        <v>0</v>
      </c>
      <c r="S228" s="50">
        <v>0</v>
      </c>
      <c r="T228" s="50">
        <v>0</v>
      </c>
      <c r="U228" s="50">
        <v>0</v>
      </c>
      <c r="V228" s="50">
        <v>0</v>
      </c>
      <c r="W228" s="50">
        <v>0</v>
      </c>
      <c r="X228" s="50">
        <v>0</v>
      </c>
      <c r="Y228" s="50">
        <v>0</v>
      </c>
      <c r="Z228" s="50">
        <v>0</v>
      </c>
      <c r="AA228" s="50">
        <v>0</v>
      </c>
      <c r="AB228" s="50">
        <v>0</v>
      </c>
      <c r="AC228" s="50">
        <v>0</v>
      </c>
      <c r="AD228" s="50">
        <v>0</v>
      </c>
      <c r="AE228" s="50">
        <v>0</v>
      </c>
      <c r="AF228" s="50">
        <v>0</v>
      </c>
      <c r="AG228" s="50">
        <v>0</v>
      </c>
      <c r="AH228" s="50">
        <v>0</v>
      </c>
    </row>
    <row r="229" spans="1:34" s="51" customFormat="1" ht="15" customHeight="1" x14ac:dyDescent="0.2">
      <c r="A229" s="49"/>
      <c r="B229" s="49" t="s">
        <v>102</v>
      </c>
      <c r="C229" s="49" t="s">
        <v>42</v>
      </c>
      <c r="D229" s="50"/>
      <c r="E229" s="50">
        <v>0.33942964122000002</v>
      </c>
      <c r="F229" s="50">
        <v>7.7480719999999993E-5</v>
      </c>
      <c r="G229" s="50">
        <v>0</v>
      </c>
      <c r="H229" s="50">
        <v>0.12882568626999999</v>
      </c>
      <c r="I229" s="50">
        <v>0.36021895539999998</v>
      </c>
      <c r="J229" s="50">
        <v>0</v>
      </c>
      <c r="K229" s="50">
        <v>0</v>
      </c>
      <c r="L229" s="50">
        <v>0</v>
      </c>
      <c r="M229" s="50">
        <v>2.3675017500000002E-3</v>
      </c>
      <c r="N229" s="50">
        <v>3.9095172769999999E-2</v>
      </c>
      <c r="O229" s="50">
        <v>0.28519900345999999</v>
      </c>
      <c r="P229" s="50">
        <v>0</v>
      </c>
      <c r="Q229" s="50">
        <v>1.0131033749999999E-2</v>
      </c>
      <c r="R229" s="50">
        <v>3.2291391259999996E-2</v>
      </c>
      <c r="S229" s="50">
        <v>0.31943268641</v>
      </c>
      <c r="T229" s="50">
        <v>1</v>
      </c>
      <c r="U229" s="50">
        <v>0</v>
      </c>
      <c r="V229" s="50">
        <v>1</v>
      </c>
      <c r="W229" s="50">
        <v>0</v>
      </c>
      <c r="X229" s="50">
        <v>1.3224665800000001E-3</v>
      </c>
      <c r="Y229" s="50">
        <v>0.14415422078000001</v>
      </c>
      <c r="Z229" s="50">
        <v>0.40633452836</v>
      </c>
      <c r="AA229" s="50">
        <v>0</v>
      </c>
      <c r="AB229" s="50">
        <v>0</v>
      </c>
      <c r="AC229" s="50">
        <v>1</v>
      </c>
      <c r="AD229" s="50">
        <v>0</v>
      </c>
      <c r="AE229" s="50">
        <v>0</v>
      </c>
      <c r="AF229" s="50">
        <v>0</v>
      </c>
      <c r="AG229" s="50">
        <v>0</v>
      </c>
      <c r="AH229" s="50">
        <v>0</v>
      </c>
    </row>
    <row r="230" spans="1:34" s="51" customFormat="1" ht="15" customHeight="1" x14ac:dyDescent="0.2">
      <c r="A230" s="49"/>
      <c r="B230" s="49" t="s">
        <v>103</v>
      </c>
      <c r="C230" s="49" t="s">
        <v>42</v>
      </c>
      <c r="D230" s="50"/>
      <c r="E230" s="50">
        <v>1.0440418789999999</v>
      </c>
      <c r="F230" s="50">
        <v>1.0440418789999999</v>
      </c>
      <c r="G230" s="50">
        <v>1.0440418789999999</v>
      </c>
      <c r="H230" s="50">
        <v>1.0440418789999999</v>
      </c>
      <c r="I230" s="50">
        <v>1.0440418789999999</v>
      </c>
      <c r="J230" s="50">
        <v>1.0440418789999999</v>
      </c>
      <c r="K230" s="50">
        <v>1.0440418789999999</v>
      </c>
      <c r="L230" s="50">
        <v>1.0440418789999999</v>
      </c>
      <c r="M230" s="50">
        <v>1.0440418789999999</v>
      </c>
      <c r="N230" s="50">
        <v>1.0440418789999999</v>
      </c>
      <c r="O230" s="50">
        <v>1.0440418789999999</v>
      </c>
      <c r="P230" s="50">
        <v>1.0440418789999999</v>
      </c>
      <c r="Q230" s="50">
        <v>1.0440418789999999</v>
      </c>
      <c r="R230" s="50">
        <v>1.0440418789999999</v>
      </c>
      <c r="S230" s="50">
        <v>1.0440418789999999</v>
      </c>
      <c r="T230" s="50">
        <v>1.0440418789999999</v>
      </c>
      <c r="U230" s="50">
        <v>1.0440418789999999</v>
      </c>
      <c r="V230" s="50">
        <v>1.0440418789999999</v>
      </c>
      <c r="W230" s="50">
        <v>1.0440418789999999</v>
      </c>
      <c r="X230" s="50">
        <v>1.0440418789999999</v>
      </c>
      <c r="Y230" s="50">
        <v>1.0440418789999999</v>
      </c>
      <c r="Z230" s="50">
        <v>1.0440418789999999</v>
      </c>
      <c r="AA230" s="50">
        <v>1.0440418789999999</v>
      </c>
      <c r="AB230" s="50">
        <v>1.0440418789999999</v>
      </c>
      <c r="AC230" s="50">
        <v>1.0440418789999999</v>
      </c>
      <c r="AD230" s="50">
        <v>1.0440418789999999</v>
      </c>
      <c r="AE230" s="50">
        <v>1.0440418789999999</v>
      </c>
      <c r="AF230" s="50">
        <v>1.0440418789999999</v>
      </c>
      <c r="AG230" s="50">
        <v>1.0440418789999999</v>
      </c>
      <c r="AH230" s="50">
        <v>1.0440418789999999</v>
      </c>
    </row>
    <row r="231" spans="1:34" s="51" customFormat="1" ht="15" customHeight="1" x14ac:dyDescent="0.2">
      <c r="A231" s="49"/>
      <c r="B231" s="48" t="s">
        <v>104</v>
      </c>
      <c r="C231" s="49"/>
      <c r="D231" s="50">
        <f>SUM($E$231:$AH$231)</f>
        <v>2432672.1359314113</v>
      </c>
      <c r="E231" s="50">
        <v>1072823.2210948288</v>
      </c>
      <c r="F231" s="50">
        <v>15.843377147392877</v>
      </c>
      <c r="G231" s="50">
        <v>0</v>
      </c>
      <c r="H231" s="50">
        <v>24909.59095400626</v>
      </c>
      <c r="I231" s="50">
        <v>30419.926704891001</v>
      </c>
      <c r="J231" s="50">
        <v>0</v>
      </c>
      <c r="K231" s="50">
        <v>0</v>
      </c>
      <c r="L231" s="50">
        <v>0</v>
      </c>
      <c r="M231" s="50">
        <v>56469.073376572545</v>
      </c>
      <c r="N231" s="50">
        <v>203459.22402681439</v>
      </c>
      <c r="O231" s="50">
        <v>240374.90850998569</v>
      </c>
      <c r="P231" s="50">
        <v>0</v>
      </c>
      <c r="Q231" s="50">
        <v>14695.986203892115</v>
      </c>
      <c r="R231" s="50">
        <v>179483.11690796094</v>
      </c>
      <c r="S231" s="50">
        <v>376244.67775980057</v>
      </c>
      <c r="T231" s="50">
        <v>95405.935478719068</v>
      </c>
      <c r="U231" s="50">
        <v>0</v>
      </c>
      <c r="V231" s="50">
        <v>13686.407634323738</v>
      </c>
      <c r="W231" s="50">
        <v>0</v>
      </c>
      <c r="X231" s="50">
        <v>660.22096389499154</v>
      </c>
      <c r="Y231" s="50">
        <v>87156.818197830798</v>
      </c>
      <c r="Z231" s="50">
        <v>29314.909441039257</v>
      </c>
      <c r="AA231" s="50">
        <v>0</v>
      </c>
      <c r="AB231" s="50">
        <v>0</v>
      </c>
      <c r="AC231" s="50">
        <v>7552.2752997035086</v>
      </c>
      <c r="AD231" s="50">
        <v>0</v>
      </c>
      <c r="AE231" s="50">
        <v>0</v>
      </c>
      <c r="AF231" s="50">
        <v>0</v>
      </c>
      <c r="AG231" s="50">
        <v>0</v>
      </c>
      <c r="AH231" s="50">
        <v>0</v>
      </c>
    </row>
    <row r="232" spans="1:34" s="51" customFormat="1" ht="15" customHeight="1" x14ac:dyDescent="0.2">
      <c r="A232" s="49"/>
      <c r="B232" s="49"/>
      <c r="C232" s="49"/>
      <c r="D232" s="50"/>
      <c r="E232" s="50"/>
      <c r="F232" s="50"/>
      <c r="G232" s="50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50"/>
      <c r="T232" s="50"/>
      <c r="U232" s="50"/>
      <c r="V232" s="50"/>
      <c r="W232" s="50"/>
      <c r="X232" s="50"/>
      <c r="Y232" s="50"/>
      <c r="Z232" s="50"/>
      <c r="AA232" s="50"/>
      <c r="AB232" s="50"/>
      <c r="AC232" s="50"/>
      <c r="AD232" s="50"/>
      <c r="AE232" s="50"/>
      <c r="AF232" s="50"/>
      <c r="AG232" s="50"/>
      <c r="AH232" s="50"/>
    </row>
    <row r="233" spans="1:34" s="51" customFormat="1" ht="15" customHeight="1" x14ac:dyDescent="0.2">
      <c r="A233" s="49"/>
      <c r="B233" s="49" t="s">
        <v>97</v>
      </c>
      <c r="C233" s="49" t="s">
        <v>37</v>
      </c>
      <c r="D233" s="50"/>
      <c r="E233" s="50">
        <v>3027334.99</v>
      </c>
      <c r="F233" s="50">
        <v>195855.69</v>
      </c>
      <c r="G233" s="50">
        <v>1524964.33</v>
      </c>
      <c r="H233" s="50">
        <v>185202.23</v>
      </c>
      <c r="I233" s="50">
        <v>80886.06</v>
      </c>
      <c r="J233" s="50">
        <v>0</v>
      </c>
      <c r="K233" s="50">
        <v>5852408.5700000003</v>
      </c>
      <c r="L233" s="50">
        <v>31787</v>
      </c>
      <c r="M233" s="50">
        <v>22845592.870000001</v>
      </c>
      <c r="N233" s="50">
        <v>4984669.03</v>
      </c>
      <c r="O233" s="50">
        <v>807278.17</v>
      </c>
      <c r="P233" s="50">
        <v>237183.25</v>
      </c>
      <c r="Q233" s="50">
        <v>1389399.23</v>
      </c>
      <c r="R233" s="50">
        <v>5323765.6100000003</v>
      </c>
      <c r="S233" s="50">
        <v>1128166.22</v>
      </c>
      <c r="T233" s="50">
        <v>91381.33</v>
      </c>
      <c r="U233" s="50">
        <v>102820.95</v>
      </c>
      <c r="V233" s="50">
        <v>13109.06</v>
      </c>
      <c r="W233" s="50">
        <v>51394993.969999999</v>
      </c>
      <c r="X233" s="50">
        <v>478174.8</v>
      </c>
      <c r="Y233" s="50">
        <v>579103.36</v>
      </c>
      <c r="Z233" s="50">
        <v>69101.41</v>
      </c>
      <c r="AA233" s="50">
        <v>518553.01</v>
      </c>
      <c r="AB233" s="50">
        <v>30495</v>
      </c>
      <c r="AC233" s="50">
        <v>7233.69</v>
      </c>
      <c r="AD233" s="50">
        <v>129170.66</v>
      </c>
      <c r="AE233" s="50">
        <v>0</v>
      </c>
      <c r="AF233" s="50">
        <v>6194.22</v>
      </c>
      <c r="AG233" s="50">
        <v>4500</v>
      </c>
      <c r="AH233" s="50">
        <v>1104227.3500000001</v>
      </c>
    </row>
    <row r="234" spans="1:34" s="51" customFormat="1" ht="15" customHeight="1" x14ac:dyDescent="0.2">
      <c r="A234" s="49"/>
      <c r="B234" s="49" t="s">
        <v>98</v>
      </c>
      <c r="C234" s="49" t="s">
        <v>37</v>
      </c>
      <c r="D234" s="50"/>
      <c r="E234" s="50">
        <v>0</v>
      </c>
      <c r="F234" s="50">
        <v>0</v>
      </c>
      <c r="G234" s="50">
        <v>0</v>
      </c>
      <c r="H234" s="50">
        <v>0</v>
      </c>
      <c r="I234" s="50">
        <v>0</v>
      </c>
      <c r="J234" s="50">
        <v>0</v>
      </c>
      <c r="K234" s="50">
        <v>0</v>
      </c>
      <c r="L234" s="50">
        <v>0</v>
      </c>
      <c r="M234" s="50">
        <v>0</v>
      </c>
      <c r="N234" s="50">
        <v>0</v>
      </c>
      <c r="O234" s="50">
        <v>0</v>
      </c>
      <c r="P234" s="50">
        <v>0</v>
      </c>
      <c r="Q234" s="50">
        <v>0</v>
      </c>
      <c r="R234" s="50">
        <v>0</v>
      </c>
      <c r="S234" s="50">
        <v>0</v>
      </c>
      <c r="T234" s="50">
        <v>0</v>
      </c>
      <c r="U234" s="50">
        <v>0</v>
      </c>
      <c r="V234" s="50">
        <v>0</v>
      </c>
      <c r="W234" s="50">
        <v>0</v>
      </c>
      <c r="X234" s="50">
        <v>0</v>
      </c>
      <c r="Y234" s="50">
        <v>0</v>
      </c>
      <c r="Z234" s="50">
        <v>0</v>
      </c>
      <c r="AA234" s="50">
        <v>0</v>
      </c>
      <c r="AB234" s="50">
        <v>0</v>
      </c>
      <c r="AC234" s="50">
        <v>0</v>
      </c>
      <c r="AD234" s="50">
        <v>0</v>
      </c>
      <c r="AE234" s="50">
        <v>0</v>
      </c>
      <c r="AF234" s="50">
        <v>0</v>
      </c>
      <c r="AG234" s="50">
        <v>0</v>
      </c>
      <c r="AH234" s="50">
        <v>0</v>
      </c>
    </row>
    <row r="235" spans="1:34" s="51" customFormat="1" ht="15" customHeight="1" x14ac:dyDescent="0.2">
      <c r="A235" s="49"/>
      <c r="B235" s="49" t="s">
        <v>105</v>
      </c>
      <c r="C235" s="49" t="s">
        <v>42</v>
      </c>
      <c r="D235" s="50"/>
      <c r="E235" s="50">
        <v>0.66057035877000003</v>
      </c>
      <c r="F235" s="50">
        <v>0.99992251927000009</v>
      </c>
      <c r="G235" s="50">
        <v>0</v>
      </c>
      <c r="H235" s="50">
        <v>0.87117431371999998</v>
      </c>
      <c r="I235" s="50">
        <v>0.63978104458999996</v>
      </c>
      <c r="J235" s="50">
        <v>0</v>
      </c>
      <c r="K235" s="50">
        <v>1</v>
      </c>
      <c r="L235" s="50">
        <v>1</v>
      </c>
      <c r="M235" s="50">
        <v>0.99763249824</v>
      </c>
      <c r="N235" s="50">
        <v>0.96090482721999992</v>
      </c>
      <c r="O235" s="50">
        <v>0.71480099653000007</v>
      </c>
      <c r="P235" s="50">
        <v>0</v>
      </c>
      <c r="Q235" s="50">
        <v>0.98986896623999998</v>
      </c>
      <c r="R235" s="50">
        <v>0.96770860873000009</v>
      </c>
      <c r="S235" s="50">
        <v>0.68056731358</v>
      </c>
      <c r="T235" s="50">
        <v>0</v>
      </c>
      <c r="U235" s="50">
        <v>1</v>
      </c>
      <c r="V235" s="50">
        <v>0</v>
      </c>
      <c r="W235" s="50">
        <v>1</v>
      </c>
      <c r="X235" s="50">
        <v>0.9986775334100001</v>
      </c>
      <c r="Y235" s="50">
        <v>0.85584577920999994</v>
      </c>
      <c r="Z235" s="50">
        <v>0.59366547163000005</v>
      </c>
      <c r="AA235" s="50">
        <v>1</v>
      </c>
      <c r="AB235" s="50">
        <v>1</v>
      </c>
      <c r="AC235" s="50">
        <v>0</v>
      </c>
      <c r="AD235" s="50">
        <v>0</v>
      </c>
      <c r="AE235" s="50">
        <v>0</v>
      </c>
      <c r="AF235" s="50">
        <v>0</v>
      </c>
      <c r="AG235" s="50">
        <v>0</v>
      </c>
      <c r="AH235" s="50">
        <v>0</v>
      </c>
    </row>
    <row r="236" spans="1:34" s="51" customFormat="1" ht="15" customHeight="1" x14ac:dyDescent="0.2">
      <c r="A236" s="49"/>
      <c r="B236" s="49" t="s">
        <v>106</v>
      </c>
      <c r="C236" s="49" t="s">
        <v>42</v>
      </c>
      <c r="D236" s="50"/>
      <c r="E236" s="50">
        <v>1.0667135640000001</v>
      </c>
      <c r="F236" s="50">
        <v>1.0667135640000001</v>
      </c>
      <c r="G236" s="50">
        <v>1.0667135640000001</v>
      </c>
      <c r="H236" s="50">
        <v>1.0667135640000001</v>
      </c>
      <c r="I236" s="50">
        <v>1.0667135640000001</v>
      </c>
      <c r="J236" s="50">
        <v>1.0667135640000001</v>
      </c>
      <c r="K236" s="50">
        <v>1.0667135640000001</v>
      </c>
      <c r="L236" s="50">
        <v>1.0667135640000001</v>
      </c>
      <c r="M236" s="50">
        <v>1.0667135640000001</v>
      </c>
      <c r="N236" s="50">
        <v>1.0667135640000001</v>
      </c>
      <c r="O236" s="50">
        <v>1.0667135640000001</v>
      </c>
      <c r="P236" s="50">
        <v>1.0667135640000001</v>
      </c>
      <c r="Q236" s="50">
        <v>1.0667135640000001</v>
      </c>
      <c r="R236" s="50">
        <v>1.0667135640000001</v>
      </c>
      <c r="S236" s="50">
        <v>1.0667135640000001</v>
      </c>
      <c r="T236" s="50">
        <v>1.0667135640000001</v>
      </c>
      <c r="U236" s="50">
        <v>1.0667135640000001</v>
      </c>
      <c r="V236" s="50">
        <v>1.0667135640000001</v>
      </c>
      <c r="W236" s="50">
        <v>1.0667135640000001</v>
      </c>
      <c r="X236" s="50">
        <v>1.0667135640000001</v>
      </c>
      <c r="Y236" s="50">
        <v>1.0667135640000001</v>
      </c>
      <c r="Z236" s="50">
        <v>1.0667135640000001</v>
      </c>
      <c r="AA236" s="50">
        <v>1.0667135640000001</v>
      </c>
      <c r="AB236" s="50">
        <v>1.0667135640000001</v>
      </c>
      <c r="AC236" s="50">
        <v>1.0667135640000001</v>
      </c>
      <c r="AD236" s="50">
        <v>1.0667135640000001</v>
      </c>
      <c r="AE236" s="50">
        <v>1.0667135640000001</v>
      </c>
      <c r="AF236" s="50">
        <v>1.0667135640000001</v>
      </c>
      <c r="AG236" s="50">
        <v>1.0667135640000001</v>
      </c>
      <c r="AH236" s="50">
        <v>1.0667135640000001</v>
      </c>
    </row>
    <row r="237" spans="1:34" s="51" customFormat="1" ht="15" customHeight="1" x14ac:dyDescent="0.2">
      <c r="A237" s="49"/>
      <c r="B237" s="48" t="s">
        <v>107</v>
      </c>
      <c r="C237" s="49"/>
      <c r="D237" s="50">
        <f>SUM($E$237:$AH$237)</f>
        <v>103265617.32841814</v>
      </c>
      <c r="E237" s="50">
        <v>2133179.3949339446</v>
      </c>
      <c r="F237" s="50">
        <v>208905.73368661862</v>
      </c>
      <c r="G237" s="50">
        <v>0</v>
      </c>
      <c r="H237" s="50">
        <v>172107.2205707203</v>
      </c>
      <c r="I237" s="50">
        <v>55201.752730899701</v>
      </c>
      <c r="J237" s="50">
        <v>0</v>
      </c>
      <c r="K237" s="50">
        <v>6242843.6036888445</v>
      </c>
      <c r="L237" s="50">
        <v>33907.624058868001</v>
      </c>
      <c r="M237" s="50">
        <v>24312008.475432333</v>
      </c>
      <c r="N237" s="50">
        <v>5109336.6637194557</v>
      </c>
      <c r="O237" s="50">
        <v>615539.851541635</v>
      </c>
      <c r="P237" s="50">
        <v>0</v>
      </c>
      <c r="Q237" s="50">
        <v>1467075.8904506585</v>
      </c>
      <c r="R237" s="50">
        <v>5495552.3406403922</v>
      </c>
      <c r="S237" s="50">
        <v>819015.26463834336</v>
      </c>
      <c r="T237" s="50">
        <v>0</v>
      </c>
      <c r="U237" s="50">
        <v>109680.50202836581</v>
      </c>
      <c r="V237" s="50">
        <v>0</v>
      </c>
      <c r="W237" s="50">
        <v>54823737.18949721</v>
      </c>
      <c r="X237" s="50">
        <v>509400.98725618608</v>
      </c>
      <c r="Y237" s="50">
        <v>528687.95421265927</v>
      </c>
      <c r="Z237" s="50">
        <v>43759.919776798524</v>
      </c>
      <c r="AA237" s="50">
        <v>553147.52942002763</v>
      </c>
      <c r="AB237" s="50">
        <v>32529.430134180002</v>
      </c>
      <c r="AC237" s="50">
        <v>0</v>
      </c>
      <c r="AD237" s="50">
        <v>0</v>
      </c>
      <c r="AE237" s="50">
        <v>0</v>
      </c>
      <c r="AF237" s="50">
        <v>0</v>
      </c>
      <c r="AG237" s="50">
        <v>0</v>
      </c>
      <c r="AH237" s="50">
        <v>0</v>
      </c>
    </row>
    <row r="238" spans="1:34" s="51" customFormat="1" ht="15" customHeight="1" x14ac:dyDescent="0.2">
      <c r="A238" s="49"/>
      <c r="B238" s="49"/>
      <c r="C238" s="49"/>
      <c r="D238" s="50"/>
      <c r="E238" s="50"/>
      <c r="F238" s="50"/>
      <c r="G238" s="50"/>
      <c r="H238" s="50"/>
      <c r="I238" s="50"/>
      <c r="J238" s="50"/>
      <c r="K238" s="50"/>
      <c r="L238" s="50"/>
      <c r="M238" s="50"/>
      <c r="N238" s="50"/>
      <c r="O238" s="50"/>
      <c r="P238" s="50"/>
      <c r="Q238" s="50"/>
      <c r="R238" s="50"/>
      <c r="S238" s="50"/>
      <c r="T238" s="50"/>
      <c r="U238" s="50"/>
      <c r="V238" s="50"/>
      <c r="W238" s="50"/>
      <c r="X238" s="50"/>
      <c r="Y238" s="50"/>
      <c r="Z238" s="50"/>
      <c r="AA238" s="50"/>
      <c r="AB238" s="50"/>
      <c r="AC238" s="50"/>
      <c r="AD238" s="50"/>
      <c r="AE238" s="50"/>
      <c r="AF238" s="50"/>
      <c r="AG238" s="50"/>
      <c r="AH238" s="50"/>
    </row>
    <row r="239" spans="1:34" s="51" customFormat="1" ht="15" customHeight="1" x14ac:dyDescent="0.2">
      <c r="A239" s="49"/>
      <c r="B239" s="49" t="s">
        <v>101</v>
      </c>
      <c r="C239" s="49" t="s">
        <v>37</v>
      </c>
      <c r="D239" s="50"/>
      <c r="E239" s="50">
        <v>0</v>
      </c>
      <c r="F239" s="50">
        <v>0</v>
      </c>
      <c r="G239" s="50">
        <v>1562125.2662042794</v>
      </c>
      <c r="H239" s="50">
        <v>0</v>
      </c>
      <c r="I239" s="50">
        <v>0</v>
      </c>
      <c r="J239" s="50">
        <v>0</v>
      </c>
      <c r="K239" s="50">
        <v>0</v>
      </c>
      <c r="L239" s="50">
        <v>0</v>
      </c>
      <c r="M239" s="50">
        <v>0</v>
      </c>
      <c r="N239" s="50">
        <v>0</v>
      </c>
      <c r="O239" s="50">
        <v>0</v>
      </c>
      <c r="P239" s="50">
        <v>242963.0255977503</v>
      </c>
      <c r="Q239" s="50">
        <v>0</v>
      </c>
      <c r="R239" s="50">
        <v>0</v>
      </c>
      <c r="S239" s="50">
        <v>0</v>
      </c>
      <c r="T239" s="50">
        <v>0</v>
      </c>
      <c r="U239" s="50">
        <v>0</v>
      </c>
      <c r="V239" s="50">
        <v>0</v>
      </c>
      <c r="W239" s="50">
        <v>0</v>
      </c>
      <c r="X239" s="50">
        <v>0</v>
      </c>
      <c r="Y239" s="50">
        <v>0</v>
      </c>
      <c r="Z239" s="50">
        <v>0</v>
      </c>
      <c r="AA239" s="50">
        <v>0</v>
      </c>
      <c r="AB239" s="50">
        <v>0</v>
      </c>
      <c r="AC239" s="50">
        <v>0</v>
      </c>
      <c r="AD239" s="50">
        <v>132318.34192363205</v>
      </c>
      <c r="AE239" s="50">
        <v>0</v>
      </c>
      <c r="AF239" s="50">
        <v>6345.1632120653412</v>
      </c>
      <c r="AG239" s="50">
        <v>4609.6577865000008</v>
      </c>
      <c r="AH239" s="50">
        <v>1131135.6004430582</v>
      </c>
    </row>
    <row r="240" spans="1:34" s="51" customFormat="1" ht="15" customHeight="1" x14ac:dyDescent="0.2">
      <c r="A240" s="49"/>
      <c r="B240" s="49" t="s">
        <v>104</v>
      </c>
      <c r="C240" s="49" t="s">
        <v>37</v>
      </c>
      <c r="D240" s="50"/>
      <c r="E240" s="50">
        <v>1072823.2210948288</v>
      </c>
      <c r="F240" s="50">
        <v>15.843377147392877</v>
      </c>
      <c r="G240" s="50">
        <v>0</v>
      </c>
      <c r="H240" s="50">
        <v>24909.59095400626</v>
      </c>
      <c r="I240" s="50">
        <v>30419.926704891001</v>
      </c>
      <c r="J240" s="50">
        <v>0</v>
      </c>
      <c r="K240" s="50">
        <v>0</v>
      </c>
      <c r="L240" s="50">
        <v>0</v>
      </c>
      <c r="M240" s="50">
        <v>56469.073376572545</v>
      </c>
      <c r="N240" s="50">
        <v>203459.22402681439</v>
      </c>
      <c r="O240" s="50">
        <v>240374.90850998569</v>
      </c>
      <c r="P240" s="50">
        <v>0</v>
      </c>
      <c r="Q240" s="50">
        <v>14695.986203892115</v>
      </c>
      <c r="R240" s="50">
        <v>179483.11690796094</v>
      </c>
      <c r="S240" s="50">
        <v>376244.67775980057</v>
      </c>
      <c r="T240" s="50">
        <v>95405.935478719068</v>
      </c>
      <c r="U240" s="50">
        <v>0</v>
      </c>
      <c r="V240" s="50">
        <v>13686.407634323738</v>
      </c>
      <c r="W240" s="50">
        <v>0</v>
      </c>
      <c r="X240" s="50">
        <v>660.22096389499154</v>
      </c>
      <c r="Y240" s="50">
        <v>87156.818197830798</v>
      </c>
      <c r="Z240" s="50">
        <v>29314.909441039257</v>
      </c>
      <c r="AA240" s="50">
        <v>0</v>
      </c>
      <c r="AB240" s="50">
        <v>0</v>
      </c>
      <c r="AC240" s="50">
        <v>7552.2752997035086</v>
      </c>
      <c r="AD240" s="50">
        <v>0</v>
      </c>
      <c r="AE240" s="50">
        <v>0</v>
      </c>
      <c r="AF240" s="50">
        <v>0</v>
      </c>
      <c r="AG240" s="50">
        <v>0</v>
      </c>
      <c r="AH240" s="50">
        <v>0</v>
      </c>
    </row>
    <row r="241" spans="1:34" s="51" customFormat="1" ht="15" customHeight="1" x14ac:dyDescent="0.2">
      <c r="A241" s="49"/>
      <c r="B241" s="49" t="s">
        <v>107</v>
      </c>
      <c r="C241" s="49" t="s">
        <v>37</v>
      </c>
      <c r="D241" s="50"/>
      <c r="E241" s="50">
        <v>2133179.3949339446</v>
      </c>
      <c r="F241" s="50">
        <v>208905.73368661862</v>
      </c>
      <c r="G241" s="50">
        <v>0</v>
      </c>
      <c r="H241" s="50">
        <v>172107.2205707203</v>
      </c>
      <c r="I241" s="50">
        <v>55201.752730899701</v>
      </c>
      <c r="J241" s="50">
        <v>0</v>
      </c>
      <c r="K241" s="50">
        <v>6242843.6036888445</v>
      </c>
      <c r="L241" s="50">
        <v>33907.624058868001</v>
      </c>
      <c r="M241" s="50">
        <v>24312008.475432333</v>
      </c>
      <c r="N241" s="50">
        <v>5109336.6637194557</v>
      </c>
      <c r="O241" s="50">
        <v>615539.851541635</v>
      </c>
      <c r="P241" s="50">
        <v>0</v>
      </c>
      <c r="Q241" s="50">
        <v>1467075.8904506585</v>
      </c>
      <c r="R241" s="50">
        <v>5495552.3406403922</v>
      </c>
      <c r="S241" s="50">
        <v>819015.26463834336</v>
      </c>
      <c r="T241" s="50">
        <v>0</v>
      </c>
      <c r="U241" s="50">
        <v>109680.50202836581</v>
      </c>
      <c r="V241" s="50">
        <v>0</v>
      </c>
      <c r="W241" s="50">
        <v>54823737.18949721</v>
      </c>
      <c r="X241" s="50">
        <v>509400.98725618608</v>
      </c>
      <c r="Y241" s="50">
        <v>528687.95421265927</v>
      </c>
      <c r="Z241" s="50">
        <v>43759.919776798524</v>
      </c>
      <c r="AA241" s="50">
        <v>553147.52942002763</v>
      </c>
      <c r="AB241" s="50">
        <v>32529.430134180002</v>
      </c>
      <c r="AC241" s="50">
        <v>0</v>
      </c>
      <c r="AD241" s="50">
        <v>0</v>
      </c>
      <c r="AE241" s="50">
        <v>0</v>
      </c>
      <c r="AF241" s="50">
        <v>0</v>
      </c>
      <c r="AG241" s="50">
        <v>0</v>
      </c>
      <c r="AH241" s="50">
        <v>0</v>
      </c>
    </row>
    <row r="242" spans="1:34" s="51" customFormat="1" ht="15" customHeight="1" x14ac:dyDescent="0.2">
      <c r="A242" s="49"/>
      <c r="B242" s="48" t="s">
        <v>110</v>
      </c>
      <c r="C242" s="49"/>
      <c r="D242" s="50">
        <f>SUM($E$242:$AH$242)</f>
        <v>108777786.51951686</v>
      </c>
      <c r="E242" s="50">
        <v>3206002.6160287736</v>
      </c>
      <c r="F242" s="50">
        <v>208921.57706376602</v>
      </c>
      <c r="G242" s="50">
        <v>1562125.2662042794</v>
      </c>
      <c r="H242" s="50">
        <v>197016.81152472657</v>
      </c>
      <c r="I242" s="50">
        <v>85621.679435790706</v>
      </c>
      <c r="J242" s="50">
        <v>0</v>
      </c>
      <c r="K242" s="50">
        <v>6242843.6036888445</v>
      </c>
      <c r="L242" s="50">
        <v>33907.624058868001</v>
      </c>
      <c r="M242" s="50">
        <v>24368477.548808906</v>
      </c>
      <c r="N242" s="50">
        <v>5312795.8877462698</v>
      </c>
      <c r="O242" s="50">
        <v>855914.76005162066</v>
      </c>
      <c r="P242" s="50">
        <v>242963.0255977503</v>
      </c>
      <c r="Q242" s="50">
        <v>1481771.8766545507</v>
      </c>
      <c r="R242" s="50">
        <v>5675035.4575483529</v>
      </c>
      <c r="S242" s="50">
        <v>1195259.9423981439</v>
      </c>
      <c r="T242" s="50">
        <v>95405.935478719068</v>
      </c>
      <c r="U242" s="50">
        <v>109680.50202836581</v>
      </c>
      <c r="V242" s="50">
        <v>13686.407634323738</v>
      </c>
      <c r="W242" s="50">
        <v>54823737.18949721</v>
      </c>
      <c r="X242" s="50">
        <v>510061.20822008105</v>
      </c>
      <c r="Y242" s="50">
        <v>615844.77241049008</v>
      </c>
      <c r="Z242" s="50">
        <v>73074.829217837774</v>
      </c>
      <c r="AA242" s="50">
        <v>553147.52942002763</v>
      </c>
      <c r="AB242" s="50">
        <v>32529.430134180002</v>
      </c>
      <c r="AC242" s="50">
        <v>7552.2752997035086</v>
      </c>
      <c r="AD242" s="50">
        <v>132318.34192363205</v>
      </c>
      <c r="AE242" s="50">
        <v>0</v>
      </c>
      <c r="AF242" s="50">
        <v>6345.1632120653412</v>
      </c>
      <c r="AG242" s="50">
        <v>4609.6577865000008</v>
      </c>
      <c r="AH242" s="50">
        <v>1131135.6004430582</v>
      </c>
    </row>
    <row r="243" spans="1:34" ht="15" customHeight="1" x14ac:dyDescent="0.2"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</row>
    <row r="244" spans="1:34" ht="15" customHeight="1" x14ac:dyDescent="0.2"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</row>
    <row r="245" spans="1:34" ht="15" customHeight="1" x14ac:dyDescent="0.2"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</row>
    <row r="246" spans="1:34" ht="15" customHeight="1" x14ac:dyDescent="0.2"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</row>
    <row r="247" spans="1:34" s="64" customFormat="1" ht="15" customHeight="1" x14ac:dyDescent="0.2">
      <c r="A247" s="61" t="s">
        <v>111</v>
      </c>
      <c r="B247" s="62" t="s">
        <v>55</v>
      </c>
      <c r="C247" s="62" t="s">
        <v>37</v>
      </c>
      <c r="D247" s="63"/>
      <c r="E247" s="63">
        <v>26793</v>
      </c>
      <c r="F247" s="63">
        <v>26793</v>
      </c>
      <c r="G247" s="63">
        <v>26793</v>
      </c>
      <c r="H247" s="63">
        <v>26793</v>
      </c>
      <c r="I247" s="63">
        <v>26793</v>
      </c>
      <c r="J247" s="63">
        <v>26793</v>
      </c>
      <c r="K247" s="63">
        <v>26793</v>
      </c>
      <c r="L247" s="63">
        <v>26793</v>
      </c>
      <c r="M247" s="63">
        <v>26793</v>
      </c>
      <c r="N247" s="63">
        <v>26793</v>
      </c>
      <c r="O247" s="63">
        <v>26793</v>
      </c>
      <c r="P247" s="63">
        <v>26793</v>
      </c>
      <c r="Q247" s="63">
        <v>26793</v>
      </c>
      <c r="R247" s="63">
        <v>26793</v>
      </c>
      <c r="S247" s="63">
        <v>26793</v>
      </c>
      <c r="T247" s="63">
        <v>26793</v>
      </c>
      <c r="U247" s="63">
        <v>26793</v>
      </c>
      <c r="V247" s="63">
        <v>26793</v>
      </c>
      <c r="W247" s="63">
        <v>26793</v>
      </c>
      <c r="X247" s="63">
        <v>26793</v>
      </c>
      <c r="Y247" s="63">
        <v>26793</v>
      </c>
      <c r="Z247" s="63">
        <v>26793</v>
      </c>
      <c r="AA247" s="63">
        <v>26793</v>
      </c>
      <c r="AB247" s="63">
        <v>26793</v>
      </c>
      <c r="AC247" s="63">
        <v>26793</v>
      </c>
      <c r="AD247" s="63">
        <v>26793</v>
      </c>
      <c r="AE247" s="63">
        <v>26793</v>
      </c>
      <c r="AF247" s="63">
        <v>26793</v>
      </c>
      <c r="AG247" s="63">
        <v>26793</v>
      </c>
      <c r="AH247" s="63">
        <v>26793</v>
      </c>
    </row>
    <row r="248" spans="1:34" s="64" customFormat="1" ht="15" customHeight="1" x14ac:dyDescent="0.2">
      <c r="A248" s="65"/>
      <c r="B248" s="62" t="s">
        <v>56</v>
      </c>
      <c r="C248" s="62" t="s">
        <v>57</v>
      </c>
      <c r="D248" s="63"/>
      <c r="E248" s="63">
        <v>2939</v>
      </c>
      <c r="F248" s="63">
        <v>2939</v>
      </c>
      <c r="G248" s="63">
        <v>2939</v>
      </c>
      <c r="H248" s="63">
        <v>2939</v>
      </c>
      <c r="I248" s="63">
        <v>2939</v>
      </c>
      <c r="J248" s="63">
        <v>2939</v>
      </c>
      <c r="K248" s="63">
        <v>2939</v>
      </c>
      <c r="L248" s="63">
        <v>2939</v>
      </c>
      <c r="M248" s="63">
        <v>2939</v>
      </c>
      <c r="N248" s="63">
        <v>2939</v>
      </c>
      <c r="O248" s="63">
        <v>2939</v>
      </c>
      <c r="P248" s="63">
        <v>2939</v>
      </c>
      <c r="Q248" s="63">
        <v>2939</v>
      </c>
      <c r="R248" s="63">
        <v>2939</v>
      </c>
      <c r="S248" s="63">
        <v>2939</v>
      </c>
      <c r="T248" s="63">
        <v>2939</v>
      </c>
      <c r="U248" s="63">
        <v>2939</v>
      </c>
      <c r="V248" s="63">
        <v>2939</v>
      </c>
      <c r="W248" s="63">
        <v>2939</v>
      </c>
      <c r="X248" s="63">
        <v>2939</v>
      </c>
      <c r="Y248" s="63">
        <v>2939</v>
      </c>
      <c r="Z248" s="63">
        <v>2939</v>
      </c>
      <c r="AA248" s="63">
        <v>2939</v>
      </c>
      <c r="AB248" s="63">
        <v>2939</v>
      </c>
      <c r="AC248" s="63">
        <v>2939</v>
      </c>
      <c r="AD248" s="63">
        <v>2939</v>
      </c>
      <c r="AE248" s="63">
        <v>2939</v>
      </c>
      <c r="AF248" s="63">
        <v>2939</v>
      </c>
      <c r="AG248" s="63">
        <v>2939</v>
      </c>
      <c r="AH248" s="63">
        <v>2939</v>
      </c>
    </row>
    <row r="249" spans="1:34" s="64" customFormat="1" ht="15" customHeight="1" x14ac:dyDescent="0.2">
      <c r="A249" s="65"/>
      <c r="B249" s="61" t="s">
        <v>58</v>
      </c>
      <c r="C249" s="65"/>
      <c r="D249" s="63">
        <f>SUM($E$249:$AH$249)</f>
        <v>715620</v>
      </c>
      <c r="E249" s="63">
        <v>23854</v>
      </c>
      <c r="F249" s="63">
        <v>23854</v>
      </c>
      <c r="G249" s="63">
        <v>23854</v>
      </c>
      <c r="H249" s="63">
        <v>23854</v>
      </c>
      <c r="I249" s="63">
        <v>23854</v>
      </c>
      <c r="J249" s="63">
        <v>23854</v>
      </c>
      <c r="K249" s="63">
        <v>23854</v>
      </c>
      <c r="L249" s="63">
        <v>23854</v>
      </c>
      <c r="M249" s="63">
        <v>23854</v>
      </c>
      <c r="N249" s="63">
        <v>23854</v>
      </c>
      <c r="O249" s="63">
        <v>23854</v>
      </c>
      <c r="P249" s="63">
        <v>23854</v>
      </c>
      <c r="Q249" s="63">
        <v>23854</v>
      </c>
      <c r="R249" s="63">
        <v>23854</v>
      </c>
      <c r="S249" s="63">
        <v>23854</v>
      </c>
      <c r="T249" s="63">
        <v>23854</v>
      </c>
      <c r="U249" s="63">
        <v>23854</v>
      </c>
      <c r="V249" s="63">
        <v>23854</v>
      </c>
      <c r="W249" s="63">
        <v>23854</v>
      </c>
      <c r="X249" s="63">
        <v>23854</v>
      </c>
      <c r="Y249" s="63">
        <v>23854</v>
      </c>
      <c r="Z249" s="63">
        <v>23854</v>
      </c>
      <c r="AA249" s="63">
        <v>23854</v>
      </c>
      <c r="AB249" s="63">
        <v>23854</v>
      </c>
      <c r="AC249" s="63">
        <v>23854</v>
      </c>
      <c r="AD249" s="63">
        <v>23854</v>
      </c>
      <c r="AE249" s="63">
        <v>23854</v>
      </c>
      <c r="AF249" s="63">
        <v>23854</v>
      </c>
      <c r="AG249" s="63">
        <v>23854</v>
      </c>
      <c r="AH249" s="63">
        <v>23854</v>
      </c>
    </row>
    <row r="250" spans="1:34" s="64" customFormat="1" ht="15" customHeight="1" x14ac:dyDescent="0.2">
      <c r="A250" s="65"/>
      <c r="B250" s="65"/>
      <c r="C250" s="65"/>
      <c r="D250" s="63"/>
      <c r="E250" s="63"/>
      <c r="F250" s="63"/>
      <c r="G250" s="63"/>
      <c r="H250" s="63"/>
      <c r="I250" s="63"/>
      <c r="J250" s="63"/>
      <c r="K250" s="63"/>
      <c r="L250" s="63"/>
      <c r="M250" s="63"/>
      <c r="N250" s="63"/>
      <c r="O250" s="63"/>
      <c r="P250" s="63"/>
      <c r="Q250" s="63"/>
      <c r="R250" s="63"/>
      <c r="S250" s="63"/>
      <c r="T250" s="63"/>
      <c r="U250" s="63"/>
      <c r="V250" s="63"/>
      <c r="W250" s="63"/>
      <c r="X250" s="63"/>
      <c r="Y250" s="63"/>
      <c r="Z250" s="63"/>
      <c r="AA250" s="63"/>
      <c r="AB250" s="63"/>
      <c r="AC250" s="63"/>
      <c r="AD250" s="63"/>
      <c r="AE250" s="63"/>
      <c r="AF250" s="63"/>
      <c r="AG250" s="63"/>
      <c r="AH250" s="63"/>
    </row>
    <row r="251" spans="1:34" s="64" customFormat="1" ht="15" customHeight="1" x14ac:dyDescent="0.2">
      <c r="A251" s="65"/>
      <c r="B251" s="62" t="s">
        <v>59</v>
      </c>
      <c r="C251" s="62" t="s">
        <v>37</v>
      </c>
      <c r="D251" s="63"/>
      <c r="E251" s="63">
        <v>1</v>
      </c>
      <c r="F251" s="63">
        <v>1</v>
      </c>
      <c r="G251" s="63">
        <v>1</v>
      </c>
      <c r="H251" s="63">
        <v>1</v>
      </c>
      <c r="I251" s="63">
        <v>1</v>
      </c>
      <c r="J251" s="63">
        <v>1</v>
      </c>
      <c r="K251" s="63">
        <v>1</v>
      </c>
      <c r="L251" s="63">
        <v>1</v>
      </c>
      <c r="M251" s="63">
        <v>1</v>
      </c>
      <c r="N251" s="63">
        <v>1</v>
      </c>
      <c r="O251" s="63">
        <v>1</v>
      </c>
      <c r="P251" s="63">
        <v>1</v>
      </c>
      <c r="Q251" s="63">
        <v>1</v>
      </c>
      <c r="R251" s="63">
        <v>1</v>
      </c>
      <c r="S251" s="63">
        <v>1</v>
      </c>
      <c r="T251" s="63">
        <v>1</v>
      </c>
      <c r="U251" s="63">
        <v>1</v>
      </c>
      <c r="V251" s="63">
        <v>1</v>
      </c>
      <c r="W251" s="63">
        <v>1</v>
      </c>
      <c r="X251" s="63">
        <v>1</v>
      </c>
      <c r="Y251" s="63">
        <v>1</v>
      </c>
      <c r="Z251" s="63">
        <v>1</v>
      </c>
      <c r="AA251" s="63">
        <v>1</v>
      </c>
      <c r="AB251" s="63">
        <v>1</v>
      </c>
      <c r="AC251" s="63">
        <v>1</v>
      </c>
      <c r="AD251" s="63">
        <v>1</v>
      </c>
      <c r="AE251" s="63">
        <v>1</v>
      </c>
      <c r="AF251" s="63">
        <v>1</v>
      </c>
      <c r="AG251" s="63">
        <v>1</v>
      </c>
      <c r="AH251" s="63">
        <v>1</v>
      </c>
    </row>
    <row r="252" spans="1:34" s="64" customFormat="1" ht="15" customHeight="1" x14ac:dyDescent="0.2">
      <c r="A252" s="65"/>
      <c r="B252" s="62" t="s">
        <v>60</v>
      </c>
      <c r="C252" s="62" t="s">
        <v>37</v>
      </c>
      <c r="D252" s="63"/>
      <c r="E252" s="63">
        <v>0.252</v>
      </c>
      <c r="F252" s="63">
        <v>0.252</v>
      </c>
      <c r="G252" s="63">
        <v>0.252</v>
      </c>
      <c r="H252" s="63">
        <v>0.252</v>
      </c>
      <c r="I252" s="63">
        <v>0.252</v>
      </c>
      <c r="J252" s="63">
        <v>0.252</v>
      </c>
      <c r="K252" s="63">
        <v>0.252</v>
      </c>
      <c r="L252" s="63">
        <v>0.252</v>
      </c>
      <c r="M252" s="63">
        <v>0.252</v>
      </c>
      <c r="N252" s="63">
        <v>0.252</v>
      </c>
      <c r="O252" s="63">
        <v>0.252</v>
      </c>
      <c r="P252" s="63">
        <v>0.252</v>
      </c>
      <c r="Q252" s="63">
        <v>0.252</v>
      </c>
      <c r="R252" s="63">
        <v>0.252</v>
      </c>
      <c r="S252" s="63">
        <v>0.252</v>
      </c>
      <c r="T252" s="63">
        <v>0.252</v>
      </c>
      <c r="U252" s="63">
        <v>0.252</v>
      </c>
      <c r="V252" s="63">
        <v>0.252</v>
      </c>
      <c r="W252" s="63">
        <v>0.252</v>
      </c>
      <c r="X252" s="63">
        <v>0.252</v>
      </c>
      <c r="Y252" s="63">
        <v>0.252</v>
      </c>
      <c r="Z252" s="63">
        <v>0.252</v>
      </c>
      <c r="AA252" s="63">
        <v>0.252</v>
      </c>
      <c r="AB252" s="63">
        <v>0.252</v>
      </c>
      <c r="AC252" s="63">
        <v>0.252</v>
      </c>
      <c r="AD252" s="63">
        <v>0.252</v>
      </c>
      <c r="AE252" s="63">
        <v>0.252</v>
      </c>
      <c r="AF252" s="63">
        <v>0.252</v>
      </c>
      <c r="AG252" s="63">
        <v>0.252</v>
      </c>
      <c r="AH252" s="63">
        <v>0.252</v>
      </c>
    </row>
    <row r="253" spans="1:34" s="64" customFormat="1" ht="15" customHeight="1" x14ac:dyDescent="0.2">
      <c r="A253" s="65"/>
      <c r="B253" s="61" t="s">
        <v>61</v>
      </c>
      <c r="C253" s="65"/>
      <c r="D253" s="63">
        <f>SUM($E$253:$AH$253)</f>
        <v>37.56</v>
      </c>
      <c r="E253" s="63">
        <v>1.252</v>
      </c>
      <c r="F253" s="63">
        <v>1.252</v>
      </c>
      <c r="G253" s="63">
        <v>1.252</v>
      </c>
      <c r="H253" s="63">
        <v>1.252</v>
      </c>
      <c r="I253" s="63">
        <v>1.252</v>
      </c>
      <c r="J253" s="63">
        <v>1.252</v>
      </c>
      <c r="K253" s="63">
        <v>1.252</v>
      </c>
      <c r="L253" s="63">
        <v>1.252</v>
      </c>
      <c r="M253" s="63">
        <v>1.252</v>
      </c>
      <c r="N253" s="63">
        <v>1.252</v>
      </c>
      <c r="O253" s="63">
        <v>1.252</v>
      </c>
      <c r="P253" s="63">
        <v>1.252</v>
      </c>
      <c r="Q253" s="63">
        <v>1.252</v>
      </c>
      <c r="R253" s="63">
        <v>1.252</v>
      </c>
      <c r="S253" s="63">
        <v>1.252</v>
      </c>
      <c r="T253" s="63">
        <v>1.252</v>
      </c>
      <c r="U253" s="63">
        <v>1.252</v>
      </c>
      <c r="V253" s="63">
        <v>1.252</v>
      </c>
      <c r="W253" s="63">
        <v>1.252</v>
      </c>
      <c r="X253" s="63">
        <v>1.252</v>
      </c>
      <c r="Y253" s="63">
        <v>1.252</v>
      </c>
      <c r="Z253" s="63">
        <v>1.252</v>
      </c>
      <c r="AA253" s="63">
        <v>1.252</v>
      </c>
      <c r="AB253" s="63">
        <v>1.252</v>
      </c>
      <c r="AC253" s="63">
        <v>1.252</v>
      </c>
      <c r="AD253" s="63">
        <v>1.252</v>
      </c>
      <c r="AE253" s="63">
        <v>1.252</v>
      </c>
      <c r="AF253" s="63">
        <v>1.252</v>
      </c>
      <c r="AG253" s="63">
        <v>1.252</v>
      </c>
      <c r="AH253" s="63">
        <v>1.252</v>
      </c>
    </row>
    <row r="254" spans="1:34" s="64" customFormat="1" ht="15" customHeight="1" x14ac:dyDescent="0.2">
      <c r="A254" s="65"/>
      <c r="B254" s="65"/>
      <c r="C254" s="65"/>
      <c r="D254" s="63"/>
      <c r="E254" s="63"/>
      <c r="F254" s="63"/>
      <c r="G254" s="63"/>
      <c r="H254" s="63"/>
      <c r="I254" s="63"/>
      <c r="J254" s="63"/>
      <c r="K254" s="63"/>
      <c r="L254" s="63"/>
      <c r="M254" s="63"/>
      <c r="N254" s="63"/>
      <c r="O254" s="63"/>
      <c r="P254" s="63"/>
      <c r="Q254" s="63"/>
      <c r="R254" s="63"/>
      <c r="S254" s="63"/>
      <c r="T254" s="63"/>
      <c r="U254" s="63"/>
      <c r="V254" s="63"/>
      <c r="W254" s="63"/>
      <c r="X254" s="63"/>
      <c r="Y254" s="63"/>
      <c r="Z254" s="63"/>
      <c r="AA254" s="63"/>
      <c r="AB254" s="63"/>
      <c r="AC254" s="63"/>
      <c r="AD254" s="63"/>
      <c r="AE254" s="63"/>
      <c r="AF254" s="63"/>
      <c r="AG254" s="63"/>
      <c r="AH254" s="63"/>
    </row>
    <row r="255" spans="1:34" s="64" customFormat="1" ht="15" customHeight="1" x14ac:dyDescent="0.2">
      <c r="A255" s="65"/>
      <c r="B255" s="62" t="s">
        <v>58</v>
      </c>
      <c r="C255" s="62" t="s">
        <v>37</v>
      </c>
      <c r="D255" s="63"/>
      <c r="E255" s="63">
        <v>23854</v>
      </c>
      <c r="F255" s="63">
        <v>23854</v>
      </c>
      <c r="G255" s="63">
        <v>23854</v>
      </c>
      <c r="H255" s="63">
        <v>23854</v>
      </c>
      <c r="I255" s="63">
        <v>23854</v>
      </c>
      <c r="J255" s="63">
        <v>23854</v>
      </c>
      <c r="K255" s="63">
        <v>23854</v>
      </c>
      <c r="L255" s="63">
        <v>23854</v>
      </c>
      <c r="M255" s="63">
        <v>23854</v>
      </c>
      <c r="N255" s="63">
        <v>23854</v>
      </c>
      <c r="O255" s="63">
        <v>23854</v>
      </c>
      <c r="P255" s="63">
        <v>23854</v>
      </c>
      <c r="Q255" s="63">
        <v>23854</v>
      </c>
      <c r="R255" s="63">
        <v>23854</v>
      </c>
      <c r="S255" s="63">
        <v>23854</v>
      </c>
      <c r="T255" s="63">
        <v>23854</v>
      </c>
      <c r="U255" s="63">
        <v>23854</v>
      </c>
      <c r="V255" s="63">
        <v>23854</v>
      </c>
      <c r="W255" s="63">
        <v>23854</v>
      </c>
      <c r="X255" s="63">
        <v>23854</v>
      </c>
      <c r="Y255" s="63">
        <v>23854</v>
      </c>
      <c r="Z255" s="63">
        <v>23854</v>
      </c>
      <c r="AA255" s="63">
        <v>23854</v>
      </c>
      <c r="AB255" s="63">
        <v>23854</v>
      </c>
      <c r="AC255" s="63">
        <v>23854</v>
      </c>
      <c r="AD255" s="63">
        <v>23854</v>
      </c>
      <c r="AE255" s="63">
        <v>23854</v>
      </c>
      <c r="AF255" s="63">
        <v>23854</v>
      </c>
      <c r="AG255" s="63">
        <v>23854</v>
      </c>
      <c r="AH255" s="63">
        <v>23854</v>
      </c>
    </row>
    <row r="256" spans="1:34" s="64" customFormat="1" ht="15" customHeight="1" x14ac:dyDescent="0.2">
      <c r="A256" s="65"/>
      <c r="B256" s="62" t="s">
        <v>61</v>
      </c>
      <c r="C256" s="62" t="s">
        <v>62</v>
      </c>
      <c r="D256" s="63"/>
      <c r="E256" s="63">
        <v>1.252</v>
      </c>
      <c r="F256" s="63">
        <v>1.252</v>
      </c>
      <c r="G256" s="63">
        <v>1.252</v>
      </c>
      <c r="H256" s="63">
        <v>1.252</v>
      </c>
      <c r="I256" s="63">
        <v>1.252</v>
      </c>
      <c r="J256" s="63">
        <v>1.252</v>
      </c>
      <c r="K256" s="63">
        <v>1.252</v>
      </c>
      <c r="L256" s="63">
        <v>1.252</v>
      </c>
      <c r="M256" s="63">
        <v>1.252</v>
      </c>
      <c r="N256" s="63">
        <v>1.252</v>
      </c>
      <c r="O256" s="63">
        <v>1.252</v>
      </c>
      <c r="P256" s="63">
        <v>1.252</v>
      </c>
      <c r="Q256" s="63">
        <v>1.252</v>
      </c>
      <c r="R256" s="63">
        <v>1.252</v>
      </c>
      <c r="S256" s="63">
        <v>1.252</v>
      </c>
      <c r="T256" s="63">
        <v>1.252</v>
      </c>
      <c r="U256" s="63">
        <v>1.252</v>
      </c>
      <c r="V256" s="63">
        <v>1.252</v>
      </c>
      <c r="W256" s="63">
        <v>1.252</v>
      </c>
      <c r="X256" s="63">
        <v>1.252</v>
      </c>
      <c r="Y256" s="63">
        <v>1.252</v>
      </c>
      <c r="Z256" s="63">
        <v>1.252</v>
      </c>
      <c r="AA256" s="63">
        <v>1.252</v>
      </c>
      <c r="AB256" s="63">
        <v>1.252</v>
      </c>
      <c r="AC256" s="63">
        <v>1.252</v>
      </c>
      <c r="AD256" s="63">
        <v>1.252</v>
      </c>
      <c r="AE256" s="63">
        <v>1.252</v>
      </c>
      <c r="AF256" s="63">
        <v>1.252</v>
      </c>
      <c r="AG256" s="63">
        <v>1.252</v>
      </c>
      <c r="AH256" s="63">
        <v>1.252</v>
      </c>
    </row>
    <row r="257" spans="1:34" s="64" customFormat="1" ht="15" customHeight="1" x14ac:dyDescent="0.2">
      <c r="A257" s="65"/>
      <c r="B257" s="61" t="s">
        <v>63</v>
      </c>
      <c r="C257" s="65"/>
      <c r="D257" s="63">
        <f>SUM($E$257:$AH$257)</f>
        <v>571581.46964856272</v>
      </c>
      <c r="E257" s="63">
        <v>19052.715654952077</v>
      </c>
      <c r="F257" s="63">
        <v>19052.715654952077</v>
      </c>
      <c r="G257" s="63">
        <v>19052.715654952077</v>
      </c>
      <c r="H257" s="63">
        <v>19052.715654952077</v>
      </c>
      <c r="I257" s="63">
        <v>19052.715654952077</v>
      </c>
      <c r="J257" s="63">
        <v>19052.715654952077</v>
      </c>
      <c r="K257" s="63">
        <v>19052.715654952077</v>
      </c>
      <c r="L257" s="63">
        <v>19052.715654952077</v>
      </c>
      <c r="M257" s="63">
        <v>19052.715654952077</v>
      </c>
      <c r="N257" s="63">
        <v>19052.715654952077</v>
      </c>
      <c r="O257" s="63">
        <v>19052.715654952077</v>
      </c>
      <c r="P257" s="63">
        <v>19052.715654952077</v>
      </c>
      <c r="Q257" s="63">
        <v>19052.715654952077</v>
      </c>
      <c r="R257" s="63">
        <v>19052.715654952077</v>
      </c>
      <c r="S257" s="63">
        <v>19052.715654952077</v>
      </c>
      <c r="T257" s="63">
        <v>19052.715654952077</v>
      </c>
      <c r="U257" s="63">
        <v>19052.715654952077</v>
      </c>
      <c r="V257" s="63">
        <v>19052.715654952077</v>
      </c>
      <c r="W257" s="63">
        <v>19052.715654952077</v>
      </c>
      <c r="X257" s="63">
        <v>19052.715654952077</v>
      </c>
      <c r="Y257" s="63">
        <v>19052.715654952077</v>
      </c>
      <c r="Z257" s="63">
        <v>19052.715654952077</v>
      </c>
      <c r="AA257" s="63">
        <v>19052.715654952077</v>
      </c>
      <c r="AB257" s="63">
        <v>19052.715654952077</v>
      </c>
      <c r="AC257" s="63">
        <v>19052.715654952077</v>
      </c>
      <c r="AD257" s="63">
        <v>19052.715654952077</v>
      </c>
      <c r="AE257" s="63">
        <v>19052.715654952077</v>
      </c>
      <c r="AF257" s="63">
        <v>19052.715654952077</v>
      </c>
      <c r="AG257" s="63">
        <v>19052.715654952077</v>
      </c>
      <c r="AH257" s="63">
        <v>19052.715654952077</v>
      </c>
    </row>
    <row r="258" spans="1:34" s="64" customFormat="1" ht="15" customHeight="1" x14ac:dyDescent="0.2">
      <c r="A258" s="65"/>
      <c r="B258" s="65"/>
      <c r="C258" s="65"/>
      <c r="D258" s="63"/>
      <c r="E258" s="63"/>
      <c r="F258" s="63"/>
      <c r="G258" s="63"/>
      <c r="H258" s="63"/>
      <c r="I258" s="63"/>
      <c r="J258" s="63"/>
      <c r="K258" s="63"/>
      <c r="L258" s="63"/>
      <c r="M258" s="63"/>
      <c r="N258" s="63"/>
      <c r="O258" s="63"/>
      <c r="P258" s="63"/>
      <c r="Q258" s="63"/>
      <c r="R258" s="63"/>
      <c r="S258" s="63"/>
      <c r="T258" s="63"/>
      <c r="U258" s="63"/>
      <c r="V258" s="63"/>
      <c r="W258" s="63"/>
      <c r="X258" s="63"/>
      <c r="Y258" s="63"/>
      <c r="Z258" s="63"/>
      <c r="AA258" s="63"/>
      <c r="AB258" s="63"/>
      <c r="AC258" s="63"/>
      <c r="AD258" s="63"/>
      <c r="AE258" s="63"/>
      <c r="AF258" s="63"/>
      <c r="AG258" s="63"/>
      <c r="AH258" s="63"/>
    </row>
    <row r="259" spans="1:34" s="64" customFormat="1" ht="15" customHeight="1" x14ac:dyDescent="0.2">
      <c r="A259" s="65"/>
      <c r="B259" s="62" t="s">
        <v>64</v>
      </c>
      <c r="C259" s="62" t="s">
        <v>37</v>
      </c>
      <c r="D259" s="63"/>
      <c r="E259" s="63">
        <v>150749.79</v>
      </c>
      <c r="F259" s="63">
        <v>150749.79</v>
      </c>
      <c r="G259" s="63">
        <v>150749.79</v>
      </c>
      <c r="H259" s="63">
        <v>150749.79</v>
      </c>
      <c r="I259" s="63">
        <v>150749.79</v>
      </c>
      <c r="J259" s="63">
        <v>150749.79</v>
      </c>
      <c r="K259" s="63">
        <v>150749.79</v>
      </c>
      <c r="L259" s="63">
        <v>150749.79</v>
      </c>
      <c r="M259" s="63">
        <v>150749.79</v>
      </c>
      <c r="N259" s="63">
        <v>150749.79</v>
      </c>
      <c r="O259" s="63">
        <v>150749.79</v>
      </c>
      <c r="P259" s="63">
        <v>150749.79</v>
      </c>
      <c r="Q259" s="63">
        <v>150749.79</v>
      </c>
      <c r="R259" s="63">
        <v>150749.79</v>
      </c>
      <c r="S259" s="63">
        <v>150749.79</v>
      </c>
      <c r="T259" s="63">
        <v>150749.79</v>
      </c>
      <c r="U259" s="63">
        <v>150749.79</v>
      </c>
      <c r="V259" s="63">
        <v>150749.79</v>
      </c>
      <c r="W259" s="63">
        <v>150749.79</v>
      </c>
      <c r="X259" s="63">
        <v>150749.79</v>
      </c>
      <c r="Y259" s="63">
        <v>150749.79</v>
      </c>
      <c r="Z259" s="63">
        <v>150749.79</v>
      </c>
      <c r="AA259" s="63">
        <v>150749.79</v>
      </c>
      <c r="AB259" s="63">
        <v>150749.79</v>
      </c>
      <c r="AC259" s="63">
        <v>150749.79</v>
      </c>
      <c r="AD259" s="63">
        <v>150749.79</v>
      </c>
      <c r="AE259" s="63">
        <v>150749.79</v>
      </c>
      <c r="AF259" s="63">
        <v>150749.79</v>
      </c>
      <c r="AG259" s="63">
        <v>150749.79</v>
      </c>
      <c r="AH259" s="63">
        <v>150749.79</v>
      </c>
    </row>
    <row r="260" spans="1:34" s="64" customFormat="1" ht="15" customHeight="1" x14ac:dyDescent="0.2">
      <c r="A260" s="65"/>
      <c r="B260" s="62" t="s">
        <v>65</v>
      </c>
      <c r="C260" s="62" t="s">
        <v>62</v>
      </c>
      <c r="D260" s="63"/>
      <c r="E260" s="63">
        <v>1000</v>
      </c>
      <c r="F260" s="63">
        <v>1000</v>
      </c>
      <c r="G260" s="63">
        <v>1000</v>
      </c>
      <c r="H260" s="63">
        <v>1000</v>
      </c>
      <c r="I260" s="63">
        <v>1000</v>
      </c>
      <c r="J260" s="63">
        <v>1000</v>
      </c>
      <c r="K260" s="63">
        <v>1000</v>
      </c>
      <c r="L260" s="63">
        <v>1000</v>
      </c>
      <c r="M260" s="63">
        <v>1000</v>
      </c>
      <c r="N260" s="63">
        <v>1000</v>
      </c>
      <c r="O260" s="63">
        <v>1000</v>
      </c>
      <c r="P260" s="63">
        <v>1000</v>
      </c>
      <c r="Q260" s="63">
        <v>1000</v>
      </c>
      <c r="R260" s="63">
        <v>1000</v>
      </c>
      <c r="S260" s="63">
        <v>1000</v>
      </c>
      <c r="T260" s="63">
        <v>1000</v>
      </c>
      <c r="U260" s="63">
        <v>1000</v>
      </c>
      <c r="V260" s="63">
        <v>1000</v>
      </c>
      <c r="W260" s="63">
        <v>1000</v>
      </c>
      <c r="X260" s="63">
        <v>1000</v>
      </c>
      <c r="Y260" s="63">
        <v>1000</v>
      </c>
      <c r="Z260" s="63">
        <v>1000</v>
      </c>
      <c r="AA260" s="63">
        <v>1000</v>
      </c>
      <c r="AB260" s="63">
        <v>1000</v>
      </c>
      <c r="AC260" s="63">
        <v>1000</v>
      </c>
      <c r="AD260" s="63">
        <v>1000</v>
      </c>
      <c r="AE260" s="63">
        <v>1000</v>
      </c>
      <c r="AF260" s="63">
        <v>1000</v>
      </c>
      <c r="AG260" s="63">
        <v>1000</v>
      </c>
      <c r="AH260" s="63">
        <v>1000</v>
      </c>
    </row>
    <row r="261" spans="1:34" s="64" customFormat="1" ht="15" customHeight="1" x14ac:dyDescent="0.2">
      <c r="A261" s="65"/>
      <c r="B261" s="61" t="s">
        <v>66</v>
      </c>
      <c r="C261" s="65"/>
      <c r="D261" s="63">
        <f>SUM($E$261:$AH$261)</f>
        <v>4522.4936999999982</v>
      </c>
      <c r="E261" s="63">
        <v>150.74979000000002</v>
      </c>
      <c r="F261" s="63">
        <v>150.74979000000002</v>
      </c>
      <c r="G261" s="63">
        <v>150.74979000000002</v>
      </c>
      <c r="H261" s="63">
        <v>150.74979000000002</v>
      </c>
      <c r="I261" s="63">
        <v>150.74979000000002</v>
      </c>
      <c r="J261" s="63">
        <v>150.74979000000002</v>
      </c>
      <c r="K261" s="63">
        <v>150.74979000000002</v>
      </c>
      <c r="L261" s="63">
        <v>150.74979000000002</v>
      </c>
      <c r="M261" s="63">
        <v>150.74979000000002</v>
      </c>
      <c r="N261" s="63">
        <v>150.74979000000002</v>
      </c>
      <c r="O261" s="63">
        <v>150.74979000000002</v>
      </c>
      <c r="P261" s="63">
        <v>150.74979000000002</v>
      </c>
      <c r="Q261" s="63">
        <v>150.74979000000002</v>
      </c>
      <c r="R261" s="63">
        <v>150.74979000000002</v>
      </c>
      <c r="S261" s="63">
        <v>150.74979000000002</v>
      </c>
      <c r="T261" s="63">
        <v>150.74979000000002</v>
      </c>
      <c r="U261" s="63">
        <v>150.74979000000002</v>
      </c>
      <c r="V261" s="63">
        <v>150.74979000000002</v>
      </c>
      <c r="W261" s="63">
        <v>150.74979000000002</v>
      </c>
      <c r="X261" s="63">
        <v>150.74979000000002</v>
      </c>
      <c r="Y261" s="63">
        <v>150.74979000000002</v>
      </c>
      <c r="Z261" s="63">
        <v>150.74979000000002</v>
      </c>
      <c r="AA261" s="63">
        <v>150.74979000000002</v>
      </c>
      <c r="AB261" s="63">
        <v>150.74979000000002</v>
      </c>
      <c r="AC261" s="63">
        <v>150.74979000000002</v>
      </c>
      <c r="AD261" s="63">
        <v>150.74979000000002</v>
      </c>
      <c r="AE261" s="63">
        <v>150.74979000000002</v>
      </c>
      <c r="AF261" s="63">
        <v>150.74979000000002</v>
      </c>
      <c r="AG261" s="63">
        <v>150.74979000000002</v>
      </c>
      <c r="AH261" s="63">
        <v>150.74979000000002</v>
      </c>
    </row>
    <row r="262" spans="1:34" s="64" customFormat="1" ht="15" customHeight="1" x14ac:dyDescent="0.2">
      <c r="A262" s="65"/>
      <c r="B262" s="65"/>
      <c r="C262" s="65"/>
      <c r="D262" s="63"/>
      <c r="E262" s="63"/>
      <c r="F262" s="63"/>
      <c r="G262" s="63"/>
      <c r="H262" s="63"/>
      <c r="I262" s="63"/>
      <c r="J262" s="63"/>
      <c r="K262" s="63"/>
      <c r="L262" s="63"/>
      <c r="M262" s="63"/>
      <c r="N262" s="63"/>
      <c r="O262" s="63"/>
      <c r="P262" s="63"/>
      <c r="Q262" s="63"/>
      <c r="R262" s="63"/>
      <c r="S262" s="63"/>
      <c r="T262" s="63"/>
      <c r="U262" s="63"/>
      <c r="V262" s="63"/>
      <c r="W262" s="63"/>
      <c r="X262" s="63"/>
      <c r="Y262" s="63"/>
      <c r="Z262" s="63"/>
      <c r="AA262" s="63"/>
      <c r="AB262" s="63"/>
      <c r="AC262" s="63"/>
      <c r="AD262" s="63"/>
      <c r="AE262" s="63"/>
      <c r="AF262" s="63"/>
      <c r="AG262" s="63"/>
      <c r="AH262" s="63"/>
    </row>
    <row r="263" spans="1:34" s="64" customFormat="1" ht="15" customHeight="1" x14ac:dyDescent="0.2">
      <c r="A263" s="65"/>
      <c r="B263" s="62" t="s">
        <v>66</v>
      </c>
      <c r="C263" s="62" t="s">
        <v>37</v>
      </c>
      <c r="D263" s="63"/>
      <c r="E263" s="63">
        <v>150.74979000000002</v>
      </c>
      <c r="F263" s="63">
        <v>150.74979000000002</v>
      </c>
      <c r="G263" s="63">
        <v>150.74979000000002</v>
      </c>
      <c r="H263" s="63">
        <v>150.74979000000002</v>
      </c>
      <c r="I263" s="63">
        <v>150.74979000000002</v>
      </c>
      <c r="J263" s="63">
        <v>150.74979000000002</v>
      </c>
      <c r="K263" s="63">
        <v>150.74979000000002</v>
      </c>
      <c r="L263" s="63">
        <v>150.74979000000002</v>
      </c>
      <c r="M263" s="63">
        <v>150.74979000000002</v>
      </c>
      <c r="N263" s="63">
        <v>150.74979000000002</v>
      </c>
      <c r="O263" s="63">
        <v>150.74979000000002</v>
      </c>
      <c r="P263" s="63">
        <v>150.74979000000002</v>
      </c>
      <c r="Q263" s="63">
        <v>150.74979000000002</v>
      </c>
      <c r="R263" s="63">
        <v>150.74979000000002</v>
      </c>
      <c r="S263" s="63">
        <v>150.74979000000002</v>
      </c>
      <c r="T263" s="63">
        <v>150.74979000000002</v>
      </c>
      <c r="U263" s="63">
        <v>150.74979000000002</v>
      </c>
      <c r="V263" s="63">
        <v>150.74979000000002</v>
      </c>
      <c r="W263" s="63">
        <v>150.74979000000002</v>
      </c>
      <c r="X263" s="63">
        <v>150.74979000000002</v>
      </c>
      <c r="Y263" s="63">
        <v>150.74979000000002</v>
      </c>
      <c r="Z263" s="63">
        <v>150.74979000000002</v>
      </c>
      <c r="AA263" s="63">
        <v>150.74979000000002</v>
      </c>
      <c r="AB263" s="63">
        <v>150.74979000000002</v>
      </c>
      <c r="AC263" s="63">
        <v>150.74979000000002</v>
      </c>
      <c r="AD263" s="63">
        <v>150.74979000000002</v>
      </c>
      <c r="AE263" s="63">
        <v>150.74979000000002</v>
      </c>
      <c r="AF263" s="63">
        <v>150.74979000000002</v>
      </c>
      <c r="AG263" s="63">
        <v>150.74979000000002</v>
      </c>
      <c r="AH263" s="63">
        <v>150.74979000000002</v>
      </c>
    </row>
    <row r="264" spans="1:34" s="64" customFormat="1" ht="15" customHeight="1" x14ac:dyDescent="0.2">
      <c r="A264" s="65"/>
      <c r="B264" s="62" t="s">
        <v>63</v>
      </c>
      <c r="C264" s="62" t="s">
        <v>62</v>
      </c>
      <c r="D264" s="63"/>
      <c r="E264" s="63">
        <v>19052.715654952077</v>
      </c>
      <c r="F264" s="63">
        <v>19052.715654952077</v>
      </c>
      <c r="G264" s="63">
        <v>19052.715654952077</v>
      </c>
      <c r="H264" s="63">
        <v>19052.715654952077</v>
      </c>
      <c r="I264" s="63">
        <v>19052.715654952077</v>
      </c>
      <c r="J264" s="63">
        <v>19052.715654952077</v>
      </c>
      <c r="K264" s="63">
        <v>19052.715654952077</v>
      </c>
      <c r="L264" s="63">
        <v>19052.715654952077</v>
      </c>
      <c r="M264" s="63">
        <v>19052.715654952077</v>
      </c>
      <c r="N264" s="63">
        <v>19052.715654952077</v>
      </c>
      <c r="O264" s="63">
        <v>19052.715654952077</v>
      </c>
      <c r="P264" s="63">
        <v>19052.715654952077</v>
      </c>
      <c r="Q264" s="63">
        <v>19052.715654952077</v>
      </c>
      <c r="R264" s="63">
        <v>19052.715654952077</v>
      </c>
      <c r="S264" s="63">
        <v>19052.715654952077</v>
      </c>
      <c r="T264" s="63">
        <v>19052.715654952077</v>
      </c>
      <c r="U264" s="63">
        <v>19052.715654952077</v>
      </c>
      <c r="V264" s="63">
        <v>19052.715654952077</v>
      </c>
      <c r="W264" s="63">
        <v>19052.715654952077</v>
      </c>
      <c r="X264" s="63">
        <v>19052.715654952077</v>
      </c>
      <c r="Y264" s="63">
        <v>19052.715654952077</v>
      </c>
      <c r="Z264" s="63">
        <v>19052.715654952077</v>
      </c>
      <c r="AA264" s="63">
        <v>19052.715654952077</v>
      </c>
      <c r="AB264" s="63">
        <v>19052.715654952077</v>
      </c>
      <c r="AC264" s="63">
        <v>19052.715654952077</v>
      </c>
      <c r="AD264" s="63">
        <v>19052.715654952077</v>
      </c>
      <c r="AE264" s="63">
        <v>19052.715654952077</v>
      </c>
      <c r="AF264" s="63">
        <v>19052.715654952077</v>
      </c>
      <c r="AG264" s="63">
        <v>19052.715654952077</v>
      </c>
      <c r="AH264" s="63">
        <v>19052.715654952077</v>
      </c>
    </row>
    <row r="265" spans="1:34" s="64" customFormat="1" ht="15" customHeight="1" x14ac:dyDescent="0.2">
      <c r="A265" s="65"/>
      <c r="B265" s="61" t="s">
        <v>67</v>
      </c>
      <c r="C265" s="65"/>
      <c r="D265" s="63">
        <f>SUM($E$265:$AH$265)</f>
        <v>0.23736740640563447</v>
      </c>
      <c r="E265" s="63">
        <v>7.9122468801878093E-3</v>
      </c>
      <c r="F265" s="63">
        <v>7.9122468801878093E-3</v>
      </c>
      <c r="G265" s="63">
        <v>7.9122468801878093E-3</v>
      </c>
      <c r="H265" s="63">
        <v>7.9122468801878093E-3</v>
      </c>
      <c r="I265" s="63">
        <v>7.9122468801878093E-3</v>
      </c>
      <c r="J265" s="63">
        <v>7.9122468801878093E-3</v>
      </c>
      <c r="K265" s="63">
        <v>7.9122468801878093E-3</v>
      </c>
      <c r="L265" s="63">
        <v>7.9122468801878093E-3</v>
      </c>
      <c r="M265" s="63">
        <v>7.9122468801878093E-3</v>
      </c>
      <c r="N265" s="63">
        <v>7.9122468801878093E-3</v>
      </c>
      <c r="O265" s="63">
        <v>7.9122468801878093E-3</v>
      </c>
      <c r="P265" s="63">
        <v>7.9122468801878093E-3</v>
      </c>
      <c r="Q265" s="63">
        <v>7.9122468801878093E-3</v>
      </c>
      <c r="R265" s="63">
        <v>7.9122468801878093E-3</v>
      </c>
      <c r="S265" s="63">
        <v>7.9122468801878093E-3</v>
      </c>
      <c r="T265" s="63">
        <v>7.9122468801878093E-3</v>
      </c>
      <c r="U265" s="63">
        <v>7.9122468801878093E-3</v>
      </c>
      <c r="V265" s="63">
        <v>7.9122468801878093E-3</v>
      </c>
      <c r="W265" s="63">
        <v>7.9122468801878093E-3</v>
      </c>
      <c r="X265" s="63">
        <v>7.9122468801878093E-3</v>
      </c>
      <c r="Y265" s="63">
        <v>7.9122468801878093E-3</v>
      </c>
      <c r="Z265" s="63">
        <v>7.9122468801878093E-3</v>
      </c>
      <c r="AA265" s="63">
        <v>7.9122468801878093E-3</v>
      </c>
      <c r="AB265" s="63">
        <v>7.9122468801878093E-3</v>
      </c>
      <c r="AC265" s="63">
        <v>7.9122468801878093E-3</v>
      </c>
      <c r="AD265" s="63">
        <v>7.9122468801878093E-3</v>
      </c>
      <c r="AE265" s="63">
        <v>7.9122468801878093E-3</v>
      </c>
      <c r="AF265" s="63">
        <v>7.9122468801878093E-3</v>
      </c>
      <c r="AG265" s="63">
        <v>7.9122468801878093E-3</v>
      </c>
      <c r="AH265" s="63">
        <v>7.9122468801878093E-3</v>
      </c>
    </row>
    <row r="266" spans="1:34" s="64" customFormat="1" ht="15" customHeight="1" x14ac:dyDescent="0.2">
      <c r="A266" s="65"/>
      <c r="B266" s="65"/>
      <c r="C266" s="65"/>
      <c r="D266" s="63"/>
      <c r="E266" s="63"/>
      <c r="F266" s="63"/>
      <c r="G266" s="63"/>
      <c r="H266" s="63"/>
      <c r="I266" s="63"/>
      <c r="J266" s="63"/>
      <c r="K266" s="63"/>
      <c r="L266" s="63"/>
      <c r="M266" s="63"/>
      <c r="N266" s="63"/>
      <c r="O266" s="63"/>
      <c r="P266" s="63"/>
      <c r="Q266" s="63"/>
      <c r="R266" s="63"/>
      <c r="S266" s="63"/>
      <c r="T266" s="63"/>
      <c r="U266" s="63"/>
      <c r="V266" s="63"/>
      <c r="W266" s="63"/>
      <c r="X266" s="63"/>
      <c r="Y266" s="63"/>
      <c r="Z266" s="63"/>
      <c r="AA266" s="63"/>
      <c r="AB266" s="63"/>
      <c r="AC266" s="63"/>
      <c r="AD266" s="63"/>
      <c r="AE266" s="63"/>
      <c r="AF266" s="63"/>
      <c r="AG266" s="63"/>
      <c r="AH266" s="63"/>
    </row>
    <row r="267" spans="1:34" s="64" customFormat="1" ht="15" customHeight="1" x14ac:dyDescent="0.2">
      <c r="A267" s="65"/>
      <c r="B267" s="62" t="s">
        <v>59</v>
      </c>
      <c r="C267" s="62" t="s">
        <v>37</v>
      </c>
      <c r="D267" s="63"/>
      <c r="E267" s="63">
        <v>1</v>
      </c>
      <c r="F267" s="63">
        <v>1</v>
      </c>
      <c r="G267" s="63">
        <v>1</v>
      </c>
      <c r="H267" s="63">
        <v>1</v>
      </c>
      <c r="I267" s="63">
        <v>1</v>
      </c>
      <c r="J267" s="63">
        <v>1</v>
      </c>
      <c r="K267" s="63">
        <v>1</v>
      </c>
      <c r="L267" s="63">
        <v>1</v>
      </c>
      <c r="M267" s="63">
        <v>1</v>
      </c>
      <c r="N267" s="63">
        <v>1</v>
      </c>
      <c r="O267" s="63">
        <v>1</v>
      </c>
      <c r="P267" s="63">
        <v>1</v>
      </c>
      <c r="Q267" s="63">
        <v>1</v>
      </c>
      <c r="R267" s="63">
        <v>1</v>
      </c>
      <c r="S267" s="63">
        <v>1</v>
      </c>
      <c r="T267" s="63">
        <v>1</v>
      </c>
      <c r="U267" s="63">
        <v>1</v>
      </c>
      <c r="V267" s="63">
        <v>1</v>
      </c>
      <c r="W267" s="63">
        <v>1</v>
      </c>
      <c r="X267" s="63">
        <v>1</v>
      </c>
      <c r="Y267" s="63">
        <v>1</v>
      </c>
      <c r="Z267" s="63">
        <v>1</v>
      </c>
      <c r="AA267" s="63">
        <v>1</v>
      </c>
      <c r="AB267" s="63">
        <v>1</v>
      </c>
      <c r="AC267" s="63">
        <v>1</v>
      </c>
      <c r="AD267" s="63">
        <v>1</v>
      </c>
      <c r="AE267" s="63">
        <v>0</v>
      </c>
      <c r="AF267" s="63">
        <v>1</v>
      </c>
      <c r="AG267" s="63">
        <v>1</v>
      </c>
      <c r="AH267" s="63">
        <v>1</v>
      </c>
    </row>
    <row r="268" spans="1:34" s="64" customFormat="1" ht="15" customHeight="1" x14ac:dyDescent="0.2">
      <c r="A268" s="65"/>
      <c r="B268" s="61" t="s">
        <v>68</v>
      </c>
      <c r="C268" s="65"/>
      <c r="D268" s="63">
        <f>SUM($E$268:$AH$268)</f>
        <v>29</v>
      </c>
      <c r="E268" s="63">
        <v>1</v>
      </c>
      <c r="F268" s="63">
        <v>1</v>
      </c>
      <c r="G268" s="63">
        <v>1</v>
      </c>
      <c r="H268" s="63">
        <v>1</v>
      </c>
      <c r="I268" s="63">
        <v>1</v>
      </c>
      <c r="J268" s="63">
        <v>1</v>
      </c>
      <c r="K268" s="63">
        <v>1</v>
      </c>
      <c r="L268" s="63">
        <v>1</v>
      </c>
      <c r="M268" s="63">
        <v>1</v>
      </c>
      <c r="N268" s="63">
        <v>1</v>
      </c>
      <c r="O268" s="63">
        <v>1</v>
      </c>
      <c r="P268" s="63">
        <v>1</v>
      </c>
      <c r="Q268" s="63">
        <v>1</v>
      </c>
      <c r="R268" s="63">
        <v>1</v>
      </c>
      <c r="S268" s="63">
        <v>1</v>
      </c>
      <c r="T268" s="63">
        <v>1</v>
      </c>
      <c r="U268" s="63">
        <v>1</v>
      </c>
      <c r="V268" s="63">
        <v>1</v>
      </c>
      <c r="W268" s="63">
        <v>1</v>
      </c>
      <c r="X268" s="63">
        <v>1</v>
      </c>
      <c r="Y268" s="63">
        <v>1</v>
      </c>
      <c r="Z268" s="63">
        <v>1</v>
      </c>
      <c r="AA268" s="63">
        <v>1</v>
      </c>
      <c r="AB268" s="63">
        <v>1</v>
      </c>
      <c r="AC268" s="63">
        <v>1</v>
      </c>
      <c r="AD268" s="63">
        <v>1</v>
      </c>
      <c r="AE268" s="63">
        <v>0</v>
      </c>
      <c r="AF268" s="63">
        <v>1</v>
      </c>
      <c r="AG268" s="63">
        <v>1</v>
      </c>
      <c r="AH268" s="63">
        <v>1</v>
      </c>
    </row>
    <row r="269" spans="1:34" s="64" customFormat="1" ht="15" customHeight="1" x14ac:dyDescent="0.2">
      <c r="A269" s="65"/>
      <c r="B269" s="65"/>
      <c r="C269" s="65"/>
      <c r="D269" s="63"/>
      <c r="E269" s="63"/>
      <c r="F269" s="63"/>
      <c r="G269" s="63"/>
      <c r="H269" s="63"/>
      <c r="I269" s="63"/>
      <c r="J269" s="63"/>
      <c r="K269" s="63"/>
      <c r="L269" s="63"/>
      <c r="M269" s="63"/>
      <c r="N269" s="63"/>
      <c r="O269" s="63"/>
      <c r="P269" s="63"/>
      <c r="Q269" s="63"/>
      <c r="R269" s="63"/>
      <c r="S269" s="63"/>
      <c r="T269" s="63"/>
      <c r="U269" s="63"/>
      <c r="V269" s="63"/>
      <c r="W269" s="63"/>
      <c r="X269" s="63"/>
      <c r="Y269" s="63"/>
      <c r="Z269" s="63"/>
      <c r="AA269" s="63"/>
      <c r="AB269" s="63"/>
      <c r="AC269" s="63"/>
      <c r="AD269" s="63"/>
      <c r="AE269" s="63"/>
      <c r="AF269" s="63"/>
      <c r="AG269" s="63"/>
      <c r="AH269" s="63"/>
    </row>
    <row r="270" spans="1:34" s="64" customFormat="1" ht="15" customHeight="1" x14ac:dyDescent="0.2">
      <c r="A270" s="65"/>
      <c r="B270" s="62" t="s">
        <v>68</v>
      </c>
      <c r="C270" s="62" t="s">
        <v>37</v>
      </c>
      <c r="D270" s="63"/>
      <c r="E270" s="63">
        <v>1</v>
      </c>
      <c r="F270" s="63">
        <v>1</v>
      </c>
      <c r="G270" s="63">
        <v>1</v>
      </c>
      <c r="H270" s="63">
        <v>1</v>
      </c>
      <c r="I270" s="63">
        <v>1</v>
      </c>
      <c r="J270" s="63">
        <v>1</v>
      </c>
      <c r="K270" s="63">
        <v>1</v>
      </c>
      <c r="L270" s="63">
        <v>1</v>
      </c>
      <c r="M270" s="63">
        <v>1</v>
      </c>
      <c r="N270" s="63">
        <v>1</v>
      </c>
      <c r="O270" s="63">
        <v>1</v>
      </c>
      <c r="P270" s="63">
        <v>1</v>
      </c>
      <c r="Q270" s="63">
        <v>1</v>
      </c>
      <c r="R270" s="63">
        <v>1</v>
      </c>
      <c r="S270" s="63">
        <v>1</v>
      </c>
      <c r="T270" s="63">
        <v>1</v>
      </c>
      <c r="U270" s="63">
        <v>1</v>
      </c>
      <c r="V270" s="63">
        <v>1</v>
      </c>
      <c r="W270" s="63">
        <v>1</v>
      </c>
      <c r="X270" s="63">
        <v>1</v>
      </c>
      <c r="Y270" s="63">
        <v>1</v>
      </c>
      <c r="Z270" s="63">
        <v>1</v>
      </c>
      <c r="AA270" s="63">
        <v>1</v>
      </c>
      <c r="AB270" s="63">
        <v>1</v>
      </c>
      <c r="AC270" s="63">
        <v>1</v>
      </c>
      <c r="AD270" s="63">
        <v>1</v>
      </c>
      <c r="AE270" s="63">
        <v>0</v>
      </c>
      <c r="AF270" s="63">
        <v>1</v>
      </c>
      <c r="AG270" s="63">
        <v>1</v>
      </c>
      <c r="AH270" s="63">
        <v>1</v>
      </c>
    </row>
    <row r="271" spans="1:34" s="64" customFormat="1" ht="15" customHeight="1" x14ac:dyDescent="0.2">
      <c r="A271" s="65"/>
      <c r="B271" s="62" t="s">
        <v>67</v>
      </c>
      <c r="C271" s="62" t="s">
        <v>57</v>
      </c>
      <c r="D271" s="63"/>
      <c r="E271" s="63">
        <v>7.9122468801878093E-3</v>
      </c>
      <c r="F271" s="63">
        <v>7.9122468801878093E-3</v>
      </c>
      <c r="G271" s="63">
        <v>7.9122468801878093E-3</v>
      </c>
      <c r="H271" s="63">
        <v>7.9122468801878093E-3</v>
      </c>
      <c r="I271" s="63">
        <v>7.9122468801878093E-3</v>
      </c>
      <c r="J271" s="63">
        <v>7.9122468801878093E-3</v>
      </c>
      <c r="K271" s="63">
        <v>7.9122468801878093E-3</v>
      </c>
      <c r="L271" s="63">
        <v>7.9122468801878093E-3</v>
      </c>
      <c r="M271" s="63">
        <v>7.9122468801878093E-3</v>
      </c>
      <c r="N271" s="63">
        <v>7.9122468801878093E-3</v>
      </c>
      <c r="O271" s="63">
        <v>7.9122468801878093E-3</v>
      </c>
      <c r="P271" s="63">
        <v>7.9122468801878093E-3</v>
      </c>
      <c r="Q271" s="63">
        <v>7.9122468801878093E-3</v>
      </c>
      <c r="R271" s="63">
        <v>7.9122468801878093E-3</v>
      </c>
      <c r="S271" s="63">
        <v>7.9122468801878093E-3</v>
      </c>
      <c r="T271" s="63">
        <v>7.9122468801878093E-3</v>
      </c>
      <c r="U271" s="63">
        <v>7.9122468801878093E-3</v>
      </c>
      <c r="V271" s="63">
        <v>7.9122468801878093E-3</v>
      </c>
      <c r="W271" s="63">
        <v>7.9122468801878093E-3</v>
      </c>
      <c r="X271" s="63">
        <v>7.9122468801878093E-3</v>
      </c>
      <c r="Y271" s="63">
        <v>7.9122468801878093E-3</v>
      </c>
      <c r="Z271" s="63">
        <v>7.9122468801878093E-3</v>
      </c>
      <c r="AA271" s="63">
        <v>7.9122468801878093E-3</v>
      </c>
      <c r="AB271" s="63">
        <v>7.9122468801878093E-3</v>
      </c>
      <c r="AC271" s="63">
        <v>7.9122468801878093E-3</v>
      </c>
      <c r="AD271" s="63">
        <v>7.9122468801878093E-3</v>
      </c>
      <c r="AE271" s="63">
        <v>7.9122468801878093E-3</v>
      </c>
      <c r="AF271" s="63">
        <v>7.9122468801878093E-3</v>
      </c>
      <c r="AG271" s="63">
        <v>7.9122468801878093E-3</v>
      </c>
      <c r="AH271" s="63">
        <v>7.9122468801878093E-3</v>
      </c>
    </row>
    <row r="272" spans="1:34" s="64" customFormat="1" ht="15" customHeight="1" x14ac:dyDescent="0.2">
      <c r="A272" s="65"/>
      <c r="B272" s="61" t="s">
        <v>69</v>
      </c>
      <c r="C272" s="65"/>
      <c r="D272" s="63">
        <f>SUM($E$272:$AH$272)</f>
        <v>28.762632593594354</v>
      </c>
      <c r="E272" s="63">
        <v>0.99208775311981223</v>
      </c>
      <c r="F272" s="63">
        <v>0.99208775311981223</v>
      </c>
      <c r="G272" s="63">
        <v>0.99208775311981223</v>
      </c>
      <c r="H272" s="63">
        <v>0.99208775311981223</v>
      </c>
      <c r="I272" s="63">
        <v>0.99208775311981223</v>
      </c>
      <c r="J272" s="63">
        <v>0.99208775311981223</v>
      </c>
      <c r="K272" s="63">
        <v>0.99208775311981223</v>
      </c>
      <c r="L272" s="63">
        <v>0.99208775311981223</v>
      </c>
      <c r="M272" s="63">
        <v>0.99208775311981223</v>
      </c>
      <c r="N272" s="63">
        <v>0.99208775311981223</v>
      </c>
      <c r="O272" s="63">
        <v>0.99208775311981223</v>
      </c>
      <c r="P272" s="63">
        <v>0.99208775311981223</v>
      </c>
      <c r="Q272" s="63">
        <v>0.99208775311981223</v>
      </c>
      <c r="R272" s="63">
        <v>0.99208775311981223</v>
      </c>
      <c r="S272" s="63">
        <v>0.99208775311981223</v>
      </c>
      <c r="T272" s="63">
        <v>0.99208775311981223</v>
      </c>
      <c r="U272" s="63">
        <v>0.99208775311981223</v>
      </c>
      <c r="V272" s="63">
        <v>0.99208775311981223</v>
      </c>
      <c r="W272" s="63">
        <v>0.99208775311981223</v>
      </c>
      <c r="X272" s="63">
        <v>0.99208775311981223</v>
      </c>
      <c r="Y272" s="63">
        <v>0.99208775311981223</v>
      </c>
      <c r="Z272" s="63">
        <v>0.99208775311981223</v>
      </c>
      <c r="AA272" s="63">
        <v>0.99208775311981223</v>
      </c>
      <c r="AB272" s="63">
        <v>0.99208775311981223</v>
      </c>
      <c r="AC272" s="63">
        <v>0.99208775311981223</v>
      </c>
      <c r="AD272" s="63">
        <v>0.99208775311981223</v>
      </c>
      <c r="AE272" s="63">
        <v>-7.9122468801878093E-3</v>
      </c>
      <c r="AF272" s="63">
        <v>0.99208775311981223</v>
      </c>
      <c r="AG272" s="63">
        <v>0.99208775311981223</v>
      </c>
      <c r="AH272" s="63">
        <v>0.99208775311981223</v>
      </c>
    </row>
    <row r="273" spans="1:34" s="64" customFormat="1" ht="15" customHeight="1" x14ac:dyDescent="0.2">
      <c r="A273" s="65"/>
      <c r="B273" s="65"/>
      <c r="C273" s="65"/>
      <c r="D273" s="63"/>
      <c r="E273" s="63"/>
      <c r="F273" s="63"/>
      <c r="G273" s="63"/>
      <c r="H273" s="63"/>
      <c r="I273" s="63"/>
      <c r="J273" s="63"/>
      <c r="K273" s="63"/>
      <c r="L273" s="63"/>
      <c r="M273" s="63"/>
      <c r="N273" s="63"/>
      <c r="O273" s="63"/>
      <c r="P273" s="63"/>
      <c r="Q273" s="63"/>
      <c r="R273" s="63"/>
      <c r="S273" s="63"/>
      <c r="T273" s="63"/>
      <c r="U273" s="63"/>
      <c r="V273" s="63"/>
      <c r="W273" s="63"/>
      <c r="X273" s="63"/>
      <c r="Y273" s="63"/>
      <c r="Z273" s="63"/>
      <c r="AA273" s="63"/>
      <c r="AB273" s="63"/>
      <c r="AC273" s="63"/>
      <c r="AD273" s="63"/>
      <c r="AE273" s="63"/>
      <c r="AF273" s="63"/>
      <c r="AG273" s="63"/>
      <c r="AH273" s="63"/>
    </row>
    <row r="274" spans="1:34" s="64" customFormat="1" ht="15" customHeight="1" x14ac:dyDescent="0.2">
      <c r="A274" s="65"/>
      <c r="B274" s="62" t="s">
        <v>69</v>
      </c>
      <c r="C274" s="62" t="s">
        <v>37</v>
      </c>
      <c r="D274" s="63"/>
      <c r="E274" s="63">
        <v>0.99208775311981223</v>
      </c>
      <c r="F274" s="63">
        <v>0.99208775311981223</v>
      </c>
      <c r="G274" s="63">
        <v>0.99208775311981223</v>
      </c>
      <c r="H274" s="63">
        <v>0.99208775311981223</v>
      </c>
      <c r="I274" s="63">
        <v>0.99208775311981223</v>
      </c>
      <c r="J274" s="63">
        <v>0.99208775311981223</v>
      </c>
      <c r="K274" s="63">
        <v>0.99208775311981223</v>
      </c>
      <c r="L274" s="63">
        <v>0.99208775311981223</v>
      </c>
      <c r="M274" s="63">
        <v>0.99208775311981223</v>
      </c>
      <c r="N274" s="63">
        <v>0.99208775311981223</v>
      </c>
      <c r="O274" s="63">
        <v>0.99208775311981223</v>
      </c>
      <c r="P274" s="63">
        <v>0.99208775311981223</v>
      </c>
      <c r="Q274" s="63">
        <v>0.99208775311981223</v>
      </c>
      <c r="R274" s="63">
        <v>0.99208775311981223</v>
      </c>
      <c r="S274" s="63">
        <v>0.99208775311981223</v>
      </c>
      <c r="T274" s="63">
        <v>0.99208775311981223</v>
      </c>
      <c r="U274" s="63">
        <v>0.99208775311981223</v>
      </c>
      <c r="V274" s="63">
        <v>0.99208775311981223</v>
      </c>
      <c r="W274" s="63">
        <v>0.99208775311981223</v>
      </c>
      <c r="X274" s="63">
        <v>0.99208775311981223</v>
      </c>
      <c r="Y274" s="63">
        <v>0.99208775311981223</v>
      </c>
      <c r="Z274" s="63">
        <v>0.99208775311981223</v>
      </c>
      <c r="AA274" s="63">
        <v>0.99208775311981223</v>
      </c>
      <c r="AB274" s="63">
        <v>0.99208775311981223</v>
      </c>
      <c r="AC274" s="63">
        <v>0.99208775311981223</v>
      </c>
      <c r="AD274" s="63">
        <v>0.99208775311981223</v>
      </c>
      <c r="AE274" s="63">
        <v>-7.9122468801878093E-3</v>
      </c>
      <c r="AF274" s="63">
        <v>0.99208775311981223</v>
      </c>
      <c r="AG274" s="63">
        <v>0.99208775311981223</v>
      </c>
      <c r="AH274" s="63">
        <v>0.99208775311981223</v>
      </c>
    </row>
    <row r="275" spans="1:34" s="64" customFormat="1" ht="15" customHeight="1" x14ac:dyDescent="0.2">
      <c r="A275" s="65"/>
      <c r="B275" s="62" t="s">
        <v>70</v>
      </c>
      <c r="C275" s="62" t="s">
        <v>42</v>
      </c>
      <c r="D275" s="63"/>
      <c r="E275" s="63">
        <v>-1</v>
      </c>
      <c r="F275" s="63">
        <v>-1</v>
      </c>
      <c r="G275" s="63">
        <v>-1</v>
      </c>
      <c r="H275" s="63">
        <v>-1</v>
      </c>
      <c r="I275" s="63">
        <v>-1</v>
      </c>
      <c r="J275" s="63">
        <v>-1</v>
      </c>
      <c r="K275" s="63">
        <v>-1</v>
      </c>
      <c r="L275" s="63">
        <v>-1</v>
      </c>
      <c r="M275" s="63">
        <v>-1</v>
      </c>
      <c r="N275" s="63">
        <v>-1</v>
      </c>
      <c r="O275" s="63">
        <v>-1</v>
      </c>
      <c r="P275" s="63">
        <v>-1</v>
      </c>
      <c r="Q275" s="63">
        <v>-1</v>
      </c>
      <c r="R275" s="63">
        <v>-1</v>
      </c>
      <c r="S275" s="63">
        <v>-1</v>
      </c>
      <c r="T275" s="63">
        <v>-1</v>
      </c>
      <c r="U275" s="63">
        <v>-1</v>
      </c>
      <c r="V275" s="63">
        <v>-1</v>
      </c>
      <c r="W275" s="63">
        <v>-1</v>
      </c>
      <c r="X275" s="63">
        <v>-1</v>
      </c>
      <c r="Y275" s="63">
        <v>-1</v>
      </c>
      <c r="Z275" s="63">
        <v>-1</v>
      </c>
      <c r="AA275" s="63">
        <v>-1</v>
      </c>
      <c r="AB275" s="63">
        <v>-1</v>
      </c>
      <c r="AC275" s="63">
        <v>-1</v>
      </c>
      <c r="AD275" s="63">
        <v>-1</v>
      </c>
      <c r="AE275" s="63">
        <v>1</v>
      </c>
      <c r="AF275" s="63">
        <v>-1</v>
      </c>
      <c r="AG275" s="63">
        <v>-1</v>
      </c>
      <c r="AH275" s="63">
        <v>-1</v>
      </c>
    </row>
    <row r="276" spans="1:34" s="64" customFormat="1" ht="15" customHeight="1" x14ac:dyDescent="0.2">
      <c r="A276" s="65"/>
      <c r="B276" s="61" t="s">
        <v>71</v>
      </c>
      <c r="C276" s="65"/>
      <c r="D276" s="63">
        <f>SUM($E$276:$AH$276)</f>
        <v>-28.778457087354731</v>
      </c>
      <c r="E276" s="63">
        <v>-0.99208775311981223</v>
      </c>
      <c r="F276" s="63">
        <v>-0.99208775311981223</v>
      </c>
      <c r="G276" s="63">
        <v>-0.99208775311981223</v>
      </c>
      <c r="H276" s="63">
        <v>-0.99208775311981223</v>
      </c>
      <c r="I276" s="63">
        <v>-0.99208775311981223</v>
      </c>
      <c r="J276" s="63">
        <v>-0.99208775311981223</v>
      </c>
      <c r="K276" s="63">
        <v>-0.99208775311981223</v>
      </c>
      <c r="L276" s="63">
        <v>-0.99208775311981223</v>
      </c>
      <c r="M276" s="63">
        <v>-0.99208775311981223</v>
      </c>
      <c r="N276" s="63">
        <v>-0.99208775311981223</v>
      </c>
      <c r="O276" s="63">
        <v>-0.99208775311981223</v>
      </c>
      <c r="P276" s="63">
        <v>-0.99208775311981223</v>
      </c>
      <c r="Q276" s="63">
        <v>-0.99208775311981223</v>
      </c>
      <c r="R276" s="63">
        <v>-0.99208775311981223</v>
      </c>
      <c r="S276" s="63">
        <v>-0.99208775311981223</v>
      </c>
      <c r="T276" s="63">
        <v>-0.99208775311981223</v>
      </c>
      <c r="U276" s="63">
        <v>-0.99208775311981223</v>
      </c>
      <c r="V276" s="63">
        <v>-0.99208775311981223</v>
      </c>
      <c r="W276" s="63">
        <v>-0.99208775311981223</v>
      </c>
      <c r="X276" s="63">
        <v>-0.99208775311981223</v>
      </c>
      <c r="Y276" s="63">
        <v>-0.99208775311981223</v>
      </c>
      <c r="Z276" s="63">
        <v>-0.99208775311981223</v>
      </c>
      <c r="AA276" s="63">
        <v>-0.99208775311981223</v>
      </c>
      <c r="AB276" s="63">
        <v>-0.99208775311981223</v>
      </c>
      <c r="AC276" s="63">
        <v>-0.99208775311981223</v>
      </c>
      <c r="AD276" s="63">
        <v>-0.99208775311981223</v>
      </c>
      <c r="AE276" s="63">
        <v>-7.9122468801878093E-3</v>
      </c>
      <c r="AF276" s="63">
        <v>-0.99208775311981223</v>
      </c>
      <c r="AG276" s="63">
        <v>-0.99208775311981223</v>
      </c>
      <c r="AH276" s="63">
        <v>-0.99208775311981223</v>
      </c>
    </row>
    <row r="277" spans="1:34" s="64" customFormat="1" ht="15" customHeight="1" x14ac:dyDescent="0.2">
      <c r="A277" s="65"/>
      <c r="B277" s="65"/>
      <c r="C277" s="65"/>
      <c r="D277" s="63"/>
      <c r="E277" s="63"/>
      <c r="F277" s="63"/>
      <c r="G277" s="63"/>
      <c r="H277" s="63"/>
      <c r="I277" s="63"/>
      <c r="J277" s="63"/>
      <c r="K277" s="63"/>
      <c r="L277" s="63"/>
      <c r="M277" s="63"/>
      <c r="N277" s="63"/>
      <c r="O277" s="63"/>
      <c r="P277" s="63"/>
      <c r="Q277" s="63"/>
      <c r="R277" s="63"/>
      <c r="S277" s="63"/>
      <c r="T277" s="63"/>
      <c r="U277" s="63"/>
      <c r="V277" s="63"/>
      <c r="W277" s="63"/>
      <c r="X277" s="63"/>
      <c r="Y277" s="63"/>
      <c r="Z277" s="63"/>
      <c r="AA277" s="63"/>
      <c r="AB277" s="63"/>
      <c r="AC277" s="63"/>
      <c r="AD277" s="63"/>
      <c r="AE277" s="63"/>
      <c r="AF277" s="63"/>
      <c r="AG277" s="63"/>
      <c r="AH277" s="63"/>
    </row>
    <row r="278" spans="1:34" s="64" customFormat="1" ht="15" customHeight="1" x14ac:dyDescent="0.2">
      <c r="A278" s="65"/>
      <c r="B278" s="62" t="s">
        <v>97</v>
      </c>
      <c r="C278" s="62" t="s">
        <v>37</v>
      </c>
      <c r="D278" s="63"/>
      <c r="E278" s="63">
        <v>3027334.99</v>
      </c>
      <c r="F278" s="63">
        <v>195855.69</v>
      </c>
      <c r="G278" s="63">
        <v>1524964.33</v>
      </c>
      <c r="H278" s="63">
        <v>185202.23</v>
      </c>
      <c r="I278" s="63">
        <v>80886.06</v>
      </c>
      <c r="J278" s="63">
        <v>0</v>
      </c>
      <c r="K278" s="63">
        <v>5852408.5700000003</v>
      </c>
      <c r="L278" s="63">
        <v>31787</v>
      </c>
      <c r="M278" s="63">
        <v>22845592.870000001</v>
      </c>
      <c r="N278" s="63">
        <v>4984669.03</v>
      </c>
      <c r="O278" s="63">
        <v>807278.17</v>
      </c>
      <c r="P278" s="63">
        <v>237183.25</v>
      </c>
      <c r="Q278" s="63">
        <v>1389399.23</v>
      </c>
      <c r="R278" s="63">
        <v>5323765.6100000003</v>
      </c>
      <c r="S278" s="63">
        <v>1128166.22</v>
      </c>
      <c r="T278" s="63">
        <v>91381.33</v>
      </c>
      <c r="U278" s="63">
        <v>102820.95</v>
      </c>
      <c r="V278" s="63">
        <v>13109.06</v>
      </c>
      <c r="W278" s="63">
        <v>51394993.969999999</v>
      </c>
      <c r="X278" s="63">
        <v>478174.8</v>
      </c>
      <c r="Y278" s="63">
        <v>579103.36</v>
      </c>
      <c r="Z278" s="63">
        <v>69101.41</v>
      </c>
      <c r="AA278" s="63">
        <v>518553.01</v>
      </c>
      <c r="AB278" s="63">
        <v>30495</v>
      </c>
      <c r="AC278" s="63">
        <v>7233.69</v>
      </c>
      <c r="AD278" s="63">
        <v>129170.66</v>
      </c>
      <c r="AE278" s="63">
        <v>1021760.17</v>
      </c>
      <c r="AF278" s="63">
        <v>6194.22</v>
      </c>
      <c r="AG278" s="63">
        <v>4500</v>
      </c>
      <c r="AH278" s="63">
        <v>1104227.3500000001</v>
      </c>
    </row>
    <row r="279" spans="1:34" s="64" customFormat="1" ht="15" customHeight="1" x14ac:dyDescent="0.2">
      <c r="A279" s="65"/>
      <c r="B279" s="62" t="s">
        <v>98</v>
      </c>
      <c r="C279" s="62" t="s">
        <v>37</v>
      </c>
      <c r="D279" s="63"/>
      <c r="E279" s="63">
        <v>0</v>
      </c>
      <c r="F279" s="63">
        <v>0</v>
      </c>
      <c r="G279" s="63">
        <v>0</v>
      </c>
      <c r="H279" s="63">
        <v>0</v>
      </c>
      <c r="I279" s="63">
        <v>0</v>
      </c>
      <c r="J279" s="63">
        <v>0</v>
      </c>
      <c r="K279" s="63">
        <v>0</v>
      </c>
      <c r="L279" s="63">
        <v>0</v>
      </c>
      <c r="M279" s="63">
        <v>0</v>
      </c>
      <c r="N279" s="63">
        <v>0</v>
      </c>
      <c r="O279" s="63">
        <v>0</v>
      </c>
      <c r="P279" s="63">
        <v>0</v>
      </c>
      <c r="Q279" s="63">
        <v>0</v>
      </c>
      <c r="R279" s="63">
        <v>0</v>
      </c>
      <c r="S279" s="63">
        <v>0</v>
      </c>
      <c r="T279" s="63">
        <v>0</v>
      </c>
      <c r="U279" s="63">
        <v>0</v>
      </c>
      <c r="V279" s="63">
        <v>0</v>
      </c>
      <c r="W279" s="63">
        <v>0</v>
      </c>
      <c r="X279" s="63">
        <v>0</v>
      </c>
      <c r="Y279" s="63">
        <v>0</v>
      </c>
      <c r="Z279" s="63">
        <v>0</v>
      </c>
      <c r="AA279" s="63">
        <v>0</v>
      </c>
      <c r="AB279" s="63">
        <v>0</v>
      </c>
      <c r="AC279" s="63">
        <v>0</v>
      </c>
      <c r="AD279" s="63">
        <v>0</v>
      </c>
      <c r="AE279" s="63">
        <v>0</v>
      </c>
      <c r="AF279" s="63">
        <v>0</v>
      </c>
      <c r="AG279" s="63">
        <v>0</v>
      </c>
      <c r="AH279" s="63">
        <v>0</v>
      </c>
    </row>
    <row r="280" spans="1:34" s="64" customFormat="1" ht="15" customHeight="1" x14ac:dyDescent="0.2">
      <c r="A280" s="65"/>
      <c r="B280" s="62" t="s">
        <v>99</v>
      </c>
      <c r="C280" s="62" t="s">
        <v>42</v>
      </c>
      <c r="D280" s="63"/>
      <c r="E280" s="63">
        <v>0</v>
      </c>
      <c r="F280" s="63">
        <v>0</v>
      </c>
      <c r="G280" s="63">
        <v>1</v>
      </c>
      <c r="H280" s="63">
        <v>0</v>
      </c>
      <c r="I280" s="63">
        <v>0</v>
      </c>
      <c r="J280" s="63">
        <v>1</v>
      </c>
      <c r="K280" s="63">
        <v>0</v>
      </c>
      <c r="L280" s="63">
        <v>0</v>
      </c>
      <c r="M280" s="63">
        <v>0</v>
      </c>
      <c r="N280" s="63">
        <v>0</v>
      </c>
      <c r="O280" s="63">
        <v>0</v>
      </c>
      <c r="P280" s="63">
        <v>1</v>
      </c>
      <c r="Q280" s="63">
        <v>0</v>
      </c>
      <c r="R280" s="63">
        <v>0</v>
      </c>
      <c r="S280" s="63">
        <v>0</v>
      </c>
      <c r="T280" s="63">
        <v>0</v>
      </c>
      <c r="U280" s="63">
        <v>0</v>
      </c>
      <c r="V280" s="63">
        <v>0</v>
      </c>
      <c r="W280" s="63">
        <v>0</v>
      </c>
      <c r="X280" s="63">
        <v>0</v>
      </c>
      <c r="Y280" s="63">
        <v>0</v>
      </c>
      <c r="Z280" s="63">
        <v>0</v>
      </c>
      <c r="AA280" s="63">
        <v>0</v>
      </c>
      <c r="AB280" s="63">
        <v>0</v>
      </c>
      <c r="AC280" s="63">
        <v>0</v>
      </c>
      <c r="AD280" s="63">
        <v>1</v>
      </c>
      <c r="AE280" s="63">
        <v>1</v>
      </c>
      <c r="AF280" s="63">
        <v>1</v>
      </c>
      <c r="AG280" s="63">
        <v>1</v>
      </c>
      <c r="AH280" s="63">
        <v>1</v>
      </c>
    </row>
    <row r="281" spans="1:34" s="64" customFormat="1" ht="15" customHeight="1" x14ac:dyDescent="0.2">
      <c r="A281" s="65"/>
      <c r="B281" s="62" t="s">
        <v>100</v>
      </c>
      <c r="C281" s="62" t="s">
        <v>42</v>
      </c>
      <c r="D281" s="63"/>
      <c r="E281" s="63">
        <v>1.0243683970000002</v>
      </c>
      <c r="F281" s="63">
        <v>1.0243683970000002</v>
      </c>
      <c r="G281" s="63">
        <v>1.0243683970000002</v>
      </c>
      <c r="H281" s="63">
        <v>1.0243683970000002</v>
      </c>
      <c r="I281" s="63">
        <v>1.0243683970000002</v>
      </c>
      <c r="J281" s="63">
        <v>1.0243683970000002</v>
      </c>
      <c r="K281" s="63">
        <v>1.0243683970000002</v>
      </c>
      <c r="L281" s="63">
        <v>1.0243683970000002</v>
      </c>
      <c r="M281" s="63">
        <v>1.0243683970000002</v>
      </c>
      <c r="N281" s="63">
        <v>1.0243683970000002</v>
      </c>
      <c r="O281" s="63">
        <v>1.0243683970000002</v>
      </c>
      <c r="P281" s="63">
        <v>1.0243683970000002</v>
      </c>
      <c r="Q281" s="63">
        <v>1.0243683970000002</v>
      </c>
      <c r="R281" s="63">
        <v>1.0243683970000002</v>
      </c>
      <c r="S281" s="63">
        <v>1.0243683970000002</v>
      </c>
      <c r="T281" s="63">
        <v>1.0243683970000002</v>
      </c>
      <c r="U281" s="63">
        <v>1.0243683970000002</v>
      </c>
      <c r="V281" s="63">
        <v>1.0243683970000002</v>
      </c>
      <c r="W281" s="63">
        <v>1.0243683970000002</v>
      </c>
      <c r="X281" s="63">
        <v>1.0243683970000002</v>
      </c>
      <c r="Y281" s="63">
        <v>1.0243683970000002</v>
      </c>
      <c r="Z281" s="63">
        <v>1.0243683970000002</v>
      </c>
      <c r="AA281" s="63">
        <v>1.0243683970000002</v>
      </c>
      <c r="AB281" s="63">
        <v>1.0243683970000002</v>
      </c>
      <c r="AC281" s="63">
        <v>1.0243683970000002</v>
      </c>
      <c r="AD281" s="63">
        <v>1.0243683970000002</v>
      </c>
      <c r="AE281" s="63">
        <v>1.0243683970000002</v>
      </c>
      <c r="AF281" s="63">
        <v>1.0243683970000002</v>
      </c>
      <c r="AG281" s="63">
        <v>1.0243683970000002</v>
      </c>
      <c r="AH281" s="63">
        <v>1.0243683970000002</v>
      </c>
    </row>
    <row r="282" spans="1:34" s="64" customFormat="1" ht="15" customHeight="1" x14ac:dyDescent="0.2">
      <c r="A282" s="65"/>
      <c r="B282" s="61" t="s">
        <v>112</v>
      </c>
      <c r="C282" s="65"/>
      <c r="D282" s="63">
        <f>SUM($E$282:$AH$282)</f>
        <v>4126155.8826286327</v>
      </c>
      <c r="E282" s="63">
        <v>0</v>
      </c>
      <c r="F282" s="63">
        <v>0</v>
      </c>
      <c r="G282" s="63">
        <v>1562125.2662042794</v>
      </c>
      <c r="H282" s="63">
        <v>0</v>
      </c>
      <c r="I282" s="63">
        <v>0</v>
      </c>
      <c r="J282" s="63">
        <v>0</v>
      </c>
      <c r="K282" s="63">
        <v>0</v>
      </c>
      <c r="L282" s="63">
        <v>0</v>
      </c>
      <c r="M282" s="63">
        <v>0</v>
      </c>
      <c r="N282" s="63">
        <v>0</v>
      </c>
      <c r="O282" s="63">
        <v>0</v>
      </c>
      <c r="P282" s="63">
        <v>242963.0255977503</v>
      </c>
      <c r="Q282" s="63">
        <v>0</v>
      </c>
      <c r="R282" s="63">
        <v>0</v>
      </c>
      <c r="S282" s="63">
        <v>0</v>
      </c>
      <c r="T282" s="63">
        <v>0</v>
      </c>
      <c r="U282" s="63">
        <v>0</v>
      </c>
      <c r="V282" s="63">
        <v>0</v>
      </c>
      <c r="W282" s="63">
        <v>0</v>
      </c>
      <c r="X282" s="63">
        <v>0</v>
      </c>
      <c r="Y282" s="63">
        <v>0</v>
      </c>
      <c r="Z282" s="63">
        <v>0</v>
      </c>
      <c r="AA282" s="63">
        <v>0</v>
      </c>
      <c r="AB282" s="63">
        <v>0</v>
      </c>
      <c r="AC282" s="63">
        <v>0</v>
      </c>
      <c r="AD282" s="63">
        <v>132318.34192363205</v>
      </c>
      <c r="AE282" s="63">
        <v>1046658.8274613477</v>
      </c>
      <c r="AF282" s="63">
        <v>6345.1632120653412</v>
      </c>
      <c r="AG282" s="63">
        <v>4609.6577865000008</v>
      </c>
      <c r="AH282" s="63">
        <v>1131135.6004430582</v>
      </c>
    </row>
    <row r="283" spans="1:34" s="64" customFormat="1" ht="15" customHeight="1" x14ac:dyDescent="0.2">
      <c r="A283" s="65"/>
      <c r="B283" s="65"/>
      <c r="C283" s="65"/>
      <c r="D283" s="63"/>
      <c r="E283" s="63"/>
      <c r="F283" s="63"/>
      <c r="G283" s="63"/>
      <c r="H283" s="63"/>
      <c r="I283" s="63"/>
      <c r="J283" s="63"/>
      <c r="K283" s="63"/>
      <c r="L283" s="63"/>
      <c r="M283" s="63"/>
      <c r="N283" s="63"/>
      <c r="O283" s="63"/>
      <c r="P283" s="63"/>
      <c r="Q283" s="63"/>
      <c r="R283" s="63"/>
      <c r="S283" s="63"/>
      <c r="T283" s="63"/>
      <c r="U283" s="63"/>
      <c r="V283" s="63"/>
      <c r="W283" s="63"/>
      <c r="X283" s="63"/>
      <c r="Y283" s="63"/>
      <c r="Z283" s="63"/>
      <c r="AA283" s="63"/>
      <c r="AB283" s="63"/>
      <c r="AC283" s="63"/>
      <c r="AD283" s="63"/>
      <c r="AE283" s="63"/>
      <c r="AF283" s="63"/>
      <c r="AG283" s="63"/>
      <c r="AH283" s="63"/>
    </row>
    <row r="284" spans="1:34" s="64" customFormat="1" ht="15" customHeight="1" x14ac:dyDescent="0.2">
      <c r="A284" s="65"/>
      <c r="B284" s="62" t="s">
        <v>97</v>
      </c>
      <c r="C284" s="62" t="s">
        <v>37</v>
      </c>
      <c r="D284" s="63"/>
      <c r="E284" s="63">
        <v>3027334.99</v>
      </c>
      <c r="F284" s="63">
        <v>195855.69</v>
      </c>
      <c r="G284" s="63">
        <v>1524964.33</v>
      </c>
      <c r="H284" s="63">
        <v>185202.23</v>
      </c>
      <c r="I284" s="63">
        <v>80886.06</v>
      </c>
      <c r="J284" s="63">
        <v>0</v>
      </c>
      <c r="K284" s="63">
        <v>5852408.5700000003</v>
      </c>
      <c r="L284" s="63">
        <v>31787</v>
      </c>
      <c r="M284" s="63">
        <v>22845592.870000001</v>
      </c>
      <c r="N284" s="63">
        <v>4984669.03</v>
      </c>
      <c r="O284" s="63">
        <v>807278.17</v>
      </c>
      <c r="P284" s="63">
        <v>237183.25</v>
      </c>
      <c r="Q284" s="63">
        <v>1389399.23</v>
      </c>
      <c r="R284" s="63">
        <v>5323765.6100000003</v>
      </c>
      <c r="S284" s="63">
        <v>1128166.22</v>
      </c>
      <c r="T284" s="63">
        <v>91381.33</v>
      </c>
      <c r="U284" s="63">
        <v>102820.95</v>
      </c>
      <c r="V284" s="63">
        <v>13109.06</v>
      </c>
      <c r="W284" s="63">
        <v>51394993.969999999</v>
      </c>
      <c r="X284" s="63">
        <v>478174.8</v>
      </c>
      <c r="Y284" s="63">
        <v>579103.36</v>
      </c>
      <c r="Z284" s="63">
        <v>69101.41</v>
      </c>
      <c r="AA284" s="63">
        <v>518553.01</v>
      </c>
      <c r="AB284" s="63">
        <v>30495</v>
      </c>
      <c r="AC284" s="63">
        <v>7233.69</v>
      </c>
      <c r="AD284" s="63">
        <v>129170.66</v>
      </c>
      <c r="AE284" s="63">
        <v>1021760.17</v>
      </c>
      <c r="AF284" s="63">
        <v>6194.22</v>
      </c>
      <c r="AG284" s="63">
        <v>4500</v>
      </c>
      <c r="AH284" s="63">
        <v>1104227.3500000001</v>
      </c>
    </row>
    <row r="285" spans="1:34" s="64" customFormat="1" ht="15" customHeight="1" x14ac:dyDescent="0.2">
      <c r="A285" s="65"/>
      <c r="B285" s="62" t="s">
        <v>98</v>
      </c>
      <c r="C285" s="62" t="s">
        <v>37</v>
      </c>
      <c r="D285" s="63"/>
      <c r="E285" s="63">
        <v>0</v>
      </c>
      <c r="F285" s="63">
        <v>0</v>
      </c>
      <c r="G285" s="63">
        <v>0</v>
      </c>
      <c r="H285" s="63">
        <v>0</v>
      </c>
      <c r="I285" s="63">
        <v>0</v>
      </c>
      <c r="J285" s="63">
        <v>0</v>
      </c>
      <c r="K285" s="63">
        <v>0</v>
      </c>
      <c r="L285" s="63">
        <v>0</v>
      </c>
      <c r="M285" s="63">
        <v>0</v>
      </c>
      <c r="N285" s="63">
        <v>0</v>
      </c>
      <c r="O285" s="63">
        <v>0</v>
      </c>
      <c r="P285" s="63">
        <v>0</v>
      </c>
      <c r="Q285" s="63">
        <v>0</v>
      </c>
      <c r="R285" s="63">
        <v>0</v>
      </c>
      <c r="S285" s="63">
        <v>0</v>
      </c>
      <c r="T285" s="63">
        <v>0</v>
      </c>
      <c r="U285" s="63">
        <v>0</v>
      </c>
      <c r="V285" s="63">
        <v>0</v>
      </c>
      <c r="W285" s="63">
        <v>0</v>
      </c>
      <c r="X285" s="63">
        <v>0</v>
      </c>
      <c r="Y285" s="63">
        <v>0</v>
      </c>
      <c r="Z285" s="63">
        <v>0</v>
      </c>
      <c r="AA285" s="63">
        <v>0</v>
      </c>
      <c r="AB285" s="63">
        <v>0</v>
      </c>
      <c r="AC285" s="63">
        <v>0</v>
      </c>
      <c r="AD285" s="63">
        <v>0</v>
      </c>
      <c r="AE285" s="63">
        <v>0</v>
      </c>
      <c r="AF285" s="63">
        <v>0</v>
      </c>
      <c r="AG285" s="63">
        <v>0</v>
      </c>
      <c r="AH285" s="63">
        <v>0</v>
      </c>
    </row>
    <row r="286" spans="1:34" s="64" customFormat="1" ht="15" customHeight="1" x14ac:dyDescent="0.2">
      <c r="A286" s="65"/>
      <c r="B286" s="62" t="s">
        <v>102</v>
      </c>
      <c r="C286" s="62" t="s">
        <v>42</v>
      </c>
      <c r="D286" s="63"/>
      <c r="E286" s="63">
        <v>0.33942964122000002</v>
      </c>
      <c r="F286" s="63">
        <v>7.7480719999999993E-5</v>
      </c>
      <c r="G286" s="63">
        <v>0</v>
      </c>
      <c r="H286" s="63">
        <v>0.12882568626999999</v>
      </c>
      <c r="I286" s="63">
        <v>0.36021895539999998</v>
      </c>
      <c r="J286" s="63">
        <v>0</v>
      </c>
      <c r="K286" s="63">
        <v>0</v>
      </c>
      <c r="L286" s="63">
        <v>0</v>
      </c>
      <c r="M286" s="63">
        <v>2.3675017500000002E-3</v>
      </c>
      <c r="N286" s="63">
        <v>3.9095172769999999E-2</v>
      </c>
      <c r="O286" s="63">
        <v>0.28519900345999999</v>
      </c>
      <c r="P286" s="63">
        <v>0</v>
      </c>
      <c r="Q286" s="63">
        <v>1.0131033749999999E-2</v>
      </c>
      <c r="R286" s="63">
        <v>3.2291391259999996E-2</v>
      </c>
      <c r="S286" s="63">
        <v>0.31943268641</v>
      </c>
      <c r="T286" s="63">
        <v>1</v>
      </c>
      <c r="U286" s="63">
        <v>0</v>
      </c>
      <c r="V286" s="63">
        <v>1</v>
      </c>
      <c r="W286" s="63">
        <v>0</v>
      </c>
      <c r="X286" s="63">
        <v>1.3224665800000001E-3</v>
      </c>
      <c r="Y286" s="63">
        <v>0.14415422078000001</v>
      </c>
      <c r="Z286" s="63">
        <v>0.40633452836</v>
      </c>
      <c r="AA286" s="63">
        <v>0</v>
      </c>
      <c r="AB286" s="63">
        <v>0</v>
      </c>
      <c r="AC286" s="63">
        <v>1</v>
      </c>
      <c r="AD286" s="63">
        <v>0</v>
      </c>
      <c r="AE286" s="63">
        <v>0</v>
      </c>
      <c r="AF286" s="63">
        <v>0</v>
      </c>
      <c r="AG286" s="63">
        <v>0</v>
      </c>
      <c r="AH286" s="63">
        <v>0</v>
      </c>
    </row>
    <row r="287" spans="1:34" s="64" customFormat="1" ht="15" customHeight="1" x14ac:dyDescent="0.2">
      <c r="A287" s="65"/>
      <c r="B287" s="62" t="s">
        <v>103</v>
      </c>
      <c r="C287" s="62" t="s">
        <v>42</v>
      </c>
      <c r="D287" s="63"/>
      <c r="E287" s="63">
        <v>1.0440418789999999</v>
      </c>
      <c r="F287" s="63">
        <v>1.0440418789999999</v>
      </c>
      <c r="G287" s="63">
        <v>1.0440418789999999</v>
      </c>
      <c r="H287" s="63">
        <v>1.0440418789999999</v>
      </c>
      <c r="I287" s="63">
        <v>1.0440418789999999</v>
      </c>
      <c r="J287" s="63">
        <v>1.0440418789999999</v>
      </c>
      <c r="K287" s="63">
        <v>1.0440418789999999</v>
      </c>
      <c r="L287" s="63">
        <v>1.0440418789999999</v>
      </c>
      <c r="M287" s="63">
        <v>1.0440418789999999</v>
      </c>
      <c r="N287" s="63">
        <v>1.0440418789999999</v>
      </c>
      <c r="O287" s="63">
        <v>1.0440418789999999</v>
      </c>
      <c r="P287" s="63">
        <v>1.0440418789999999</v>
      </c>
      <c r="Q287" s="63">
        <v>1.0440418789999999</v>
      </c>
      <c r="R287" s="63">
        <v>1.0440418789999999</v>
      </c>
      <c r="S287" s="63">
        <v>1.0440418789999999</v>
      </c>
      <c r="T287" s="63">
        <v>1.0440418789999999</v>
      </c>
      <c r="U287" s="63">
        <v>1.0440418789999999</v>
      </c>
      <c r="V287" s="63">
        <v>1.0440418789999999</v>
      </c>
      <c r="W287" s="63">
        <v>1.0440418789999999</v>
      </c>
      <c r="X287" s="63">
        <v>1.0440418789999999</v>
      </c>
      <c r="Y287" s="63">
        <v>1.0440418789999999</v>
      </c>
      <c r="Z287" s="63">
        <v>1.0440418789999999</v>
      </c>
      <c r="AA287" s="63">
        <v>1.0440418789999999</v>
      </c>
      <c r="AB287" s="63">
        <v>1.0440418789999999</v>
      </c>
      <c r="AC287" s="63">
        <v>1.0440418789999999</v>
      </c>
      <c r="AD287" s="63">
        <v>1.0440418789999999</v>
      </c>
      <c r="AE287" s="63">
        <v>1.0440418789999999</v>
      </c>
      <c r="AF287" s="63">
        <v>1.0440418789999999</v>
      </c>
      <c r="AG287" s="63">
        <v>1.0440418789999999</v>
      </c>
      <c r="AH287" s="63">
        <v>1.0440418789999999</v>
      </c>
    </row>
    <row r="288" spans="1:34" s="64" customFormat="1" ht="15" customHeight="1" x14ac:dyDescent="0.2">
      <c r="A288" s="65"/>
      <c r="B288" s="61" t="s">
        <v>113</v>
      </c>
      <c r="C288" s="65"/>
      <c r="D288" s="63">
        <f>SUM($E$288:$AH$288)</f>
        <v>2432672.1359314113</v>
      </c>
      <c r="E288" s="63">
        <v>1072823.2210948288</v>
      </c>
      <c r="F288" s="63">
        <v>15.843377147392877</v>
      </c>
      <c r="G288" s="63">
        <v>0</v>
      </c>
      <c r="H288" s="63">
        <v>24909.59095400626</v>
      </c>
      <c r="I288" s="63">
        <v>30419.926704891001</v>
      </c>
      <c r="J288" s="63">
        <v>0</v>
      </c>
      <c r="K288" s="63">
        <v>0</v>
      </c>
      <c r="L288" s="63">
        <v>0</v>
      </c>
      <c r="M288" s="63">
        <v>56469.073376572545</v>
      </c>
      <c r="N288" s="63">
        <v>203459.22402681439</v>
      </c>
      <c r="O288" s="63">
        <v>240374.90850998569</v>
      </c>
      <c r="P288" s="63">
        <v>0</v>
      </c>
      <c r="Q288" s="63">
        <v>14695.986203892115</v>
      </c>
      <c r="R288" s="63">
        <v>179483.11690796094</v>
      </c>
      <c r="S288" s="63">
        <v>376244.67775980057</v>
      </c>
      <c r="T288" s="63">
        <v>95405.935478719068</v>
      </c>
      <c r="U288" s="63">
        <v>0</v>
      </c>
      <c r="V288" s="63">
        <v>13686.407634323738</v>
      </c>
      <c r="W288" s="63">
        <v>0</v>
      </c>
      <c r="X288" s="63">
        <v>660.22096389499154</v>
      </c>
      <c r="Y288" s="63">
        <v>87156.818197830798</v>
      </c>
      <c r="Z288" s="63">
        <v>29314.909441039257</v>
      </c>
      <c r="AA288" s="63">
        <v>0</v>
      </c>
      <c r="AB288" s="63">
        <v>0</v>
      </c>
      <c r="AC288" s="63">
        <v>7552.2752997035086</v>
      </c>
      <c r="AD288" s="63">
        <v>0</v>
      </c>
      <c r="AE288" s="63">
        <v>0</v>
      </c>
      <c r="AF288" s="63">
        <v>0</v>
      </c>
      <c r="AG288" s="63">
        <v>0</v>
      </c>
      <c r="AH288" s="63">
        <v>0</v>
      </c>
    </row>
    <row r="289" spans="1:34" s="64" customFormat="1" ht="15" customHeight="1" x14ac:dyDescent="0.2">
      <c r="A289" s="65"/>
      <c r="B289" s="65"/>
      <c r="C289" s="65"/>
      <c r="D289" s="63"/>
      <c r="E289" s="63"/>
      <c r="F289" s="63"/>
      <c r="G289" s="63"/>
      <c r="H289" s="63"/>
      <c r="I289" s="63"/>
      <c r="J289" s="63"/>
      <c r="K289" s="63"/>
      <c r="L289" s="63"/>
      <c r="M289" s="63"/>
      <c r="N289" s="63"/>
      <c r="O289" s="63"/>
      <c r="P289" s="63"/>
      <c r="Q289" s="63"/>
      <c r="R289" s="63"/>
      <c r="S289" s="63"/>
      <c r="T289" s="63"/>
      <c r="U289" s="63"/>
      <c r="V289" s="63"/>
      <c r="W289" s="63"/>
      <c r="X289" s="63"/>
      <c r="Y289" s="63"/>
      <c r="Z289" s="63"/>
      <c r="AA289" s="63"/>
      <c r="AB289" s="63"/>
      <c r="AC289" s="63"/>
      <c r="AD289" s="63"/>
      <c r="AE289" s="63"/>
      <c r="AF289" s="63"/>
      <c r="AG289" s="63"/>
      <c r="AH289" s="63"/>
    </row>
    <row r="290" spans="1:34" s="64" customFormat="1" ht="15" customHeight="1" x14ac:dyDescent="0.2">
      <c r="A290" s="65"/>
      <c r="B290" s="62" t="s">
        <v>97</v>
      </c>
      <c r="C290" s="62" t="s">
        <v>37</v>
      </c>
      <c r="D290" s="63"/>
      <c r="E290" s="63">
        <v>3027334.99</v>
      </c>
      <c r="F290" s="63">
        <v>195855.69</v>
      </c>
      <c r="G290" s="63">
        <v>1524964.33</v>
      </c>
      <c r="H290" s="63">
        <v>185202.23</v>
      </c>
      <c r="I290" s="63">
        <v>80886.06</v>
      </c>
      <c r="J290" s="63">
        <v>0</v>
      </c>
      <c r="K290" s="63">
        <v>5852408.5700000003</v>
      </c>
      <c r="L290" s="63">
        <v>31787</v>
      </c>
      <c r="M290" s="63">
        <v>22845592.870000001</v>
      </c>
      <c r="N290" s="63">
        <v>4984669.03</v>
      </c>
      <c r="O290" s="63">
        <v>807278.17</v>
      </c>
      <c r="P290" s="63">
        <v>237183.25</v>
      </c>
      <c r="Q290" s="63">
        <v>1389399.23</v>
      </c>
      <c r="R290" s="63">
        <v>5323765.6100000003</v>
      </c>
      <c r="S290" s="63">
        <v>1128166.22</v>
      </c>
      <c r="T290" s="63">
        <v>91381.33</v>
      </c>
      <c r="U290" s="63">
        <v>102820.95</v>
      </c>
      <c r="V290" s="63">
        <v>13109.06</v>
      </c>
      <c r="W290" s="63">
        <v>51394993.969999999</v>
      </c>
      <c r="X290" s="63">
        <v>478174.8</v>
      </c>
      <c r="Y290" s="63">
        <v>579103.36</v>
      </c>
      <c r="Z290" s="63">
        <v>69101.41</v>
      </c>
      <c r="AA290" s="63">
        <v>518553.01</v>
      </c>
      <c r="AB290" s="63">
        <v>30495</v>
      </c>
      <c r="AC290" s="63">
        <v>7233.69</v>
      </c>
      <c r="AD290" s="63">
        <v>129170.66</v>
      </c>
      <c r="AE290" s="63">
        <v>1021760.17</v>
      </c>
      <c r="AF290" s="63">
        <v>6194.22</v>
      </c>
      <c r="AG290" s="63">
        <v>4500</v>
      </c>
      <c r="AH290" s="63">
        <v>1104227.3500000001</v>
      </c>
    </row>
    <row r="291" spans="1:34" s="64" customFormat="1" ht="15" customHeight="1" x14ac:dyDescent="0.2">
      <c r="A291" s="65"/>
      <c r="B291" s="62" t="s">
        <v>98</v>
      </c>
      <c r="C291" s="62" t="s">
        <v>37</v>
      </c>
      <c r="D291" s="63"/>
      <c r="E291" s="63">
        <v>0</v>
      </c>
      <c r="F291" s="63">
        <v>0</v>
      </c>
      <c r="G291" s="63">
        <v>0</v>
      </c>
      <c r="H291" s="63">
        <v>0</v>
      </c>
      <c r="I291" s="63">
        <v>0</v>
      </c>
      <c r="J291" s="63">
        <v>0</v>
      </c>
      <c r="K291" s="63">
        <v>0</v>
      </c>
      <c r="L291" s="63">
        <v>0</v>
      </c>
      <c r="M291" s="63">
        <v>0</v>
      </c>
      <c r="N291" s="63">
        <v>0</v>
      </c>
      <c r="O291" s="63">
        <v>0</v>
      </c>
      <c r="P291" s="63">
        <v>0</v>
      </c>
      <c r="Q291" s="63">
        <v>0</v>
      </c>
      <c r="R291" s="63">
        <v>0</v>
      </c>
      <c r="S291" s="63">
        <v>0</v>
      </c>
      <c r="T291" s="63">
        <v>0</v>
      </c>
      <c r="U291" s="63">
        <v>0</v>
      </c>
      <c r="V291" s="63">
        <v>0</v>
      </c>
      <c r="W291" s="63">
        <v>0</v>
      </c>
      <c r="X291" s="63">
        <v>0</v>
      </c>
      <c r="Y291" s="63">
        <v>0</v>
      </c>
      <c r="Z291" s="63">
        <v>0</v>
      </c>
      <c r="AA291" s="63">
        <v>0</v>
      </c>
      <c r="AB291" s="63">
        <v>0</v>
      </c>
      <c r="AC291" s="63">
        <v>0</v>
      </c>
      <c r="AD291" s="63">
        <v>0</v>
      </c>
      <c r="AE291" s="63">
        <v>0</v>
      </c>
      <c r="AF291" s="63">
        <v>0</v>
      </c>
      <c r="AG291" s="63">
        <v>0</v>
      </c>
      <c r="AH291" s="63">
        <v>0</v>
      </c>
    </row>
    <row r="292" spans="1:34" s="64" customFormat="1" ht="15" customHeight="1" x14ac:dyDescent="0.2">
      <c r="A292" s="65"/>
      <c r="B292" s="62" t="s">
        <v>105</v>
      </c>
      <c r="C292" s="62" t="s">
        <v>42</v>
      </c>
      <c r="D292" s="63"/>
      <c r="E292" s="63">
        <v>0.66057035877000003</v>
      </c>
      <c r="F292" s="63">
        <v>0.99992251927000009</v>
      </c>
      <c r="G292" s="63">
        <v>0</v>
      </c>
      <c r="H292" s="63">
        <v>0.87117431371999998</v>
      </c>
      <c r="I292" s="63">
        <v>0.63978104458999996</v>
      </c>
      <c r="J292" s="63">
        <v>0</v>
      </c>
      <c r="K292" s="63">
        <v>1</v>
      </c>
      <c r="L292" s="63">
        <v>1</v>
      </c>
      <c r="M292" s="63">
        <v>0.99763249824</v>
      </c>
      <c r="N292" s="63">
        <v>0.96090482721999992</v>
      </c>
      <c r="O292" s="63">
        <v>0.71480099653000007</v>
      </c>
      <c r="P292" s="63">
        <v>0</v>
      </c>
      <c r="Q292" s="63">
        <v>0.98986896623999998</v>
      </c>
      <c r="R292" s="63">
        <v>0.96770860873000009</v>
      </c>
      <c r="S292" s="63">
        <v>0.68056731358</v>
      </c>
      <c r="T292" s="63">
        <v>0</v>
      </c>
      <c r="U292" s="63">
        <v>1</v>
      </c>
      <c r="V292" s="63">
        <v>0</v>
      </c>
      <c r="W292" s="63">
        <v>1</v>
      </c>
      <c r="X292" s="63">
        <v>0.9986775334100001</v>
      </c>
      <c r="Y292" s="63">
        <v>0.85584577920999994</v>
      </c>
      <c r="Z292" s="63">
        <v>0.59366547163000005</v>
      </c>
      <c r="AA292" s="63">
        <v>1</v>
      </c>
      <c r="AB292" s="63">
        <v>1</v>
      </c>
      <c r="AC292" s="63">
        <v>0</v>
      </c>
      <c r="AD292" s="63">
        <v>0</v>
      </c>
      <c r="AE292" s="63">
        <v>0</v>
      </c>
      <c r="AF292" s="63">
        <v>0</v>
      </c>
      <c r="AG292" s="63">
        <v>0</v>
      </c>
      <c r="AH292" s="63">
        <v>0</v>
      </c>
    </row>
    <row r="293" spans="1:34" s="64" customFormat="1" ht="15" customHeight="1" x14ac:dyDescent="0.2">
      <c r="A293" s="65"/>
      <c r="B293" s="62" t="s">
        <v>106</v>
      </c>
      <c r="C293" s="62" t="s">
        <v>42</v>
      </c>
      <c r="D293" s="63"/>
      <c r="E293" s="63">
        <v>1.0667135640000001</v>
      </c>
      <c r="F293" s="63">
        <v>1.0667135640000001</v>
      </c>
      <c r="G293" s="63">
        <v>1.0667135640000001</v>
      </c>
      <c r="H293" s="63">
        <v>1.0667135640000001</v>
      </c>
      <c r="I293" s="63">
        <v>1.0667135640000001</v>
      </c>
      <c r="J293" s="63">
        <v>1.0667135640000001</v>
      </c>
      <c r="K293" s="63">
        <v>1.0667135640000001</v>
      </c>
      <c r="L293" s="63">
        <v>1.0667135640000001</v>
      </c>
      <c r="M293" s="63">
        <v>1.0667135640000001</v>
      </c>
      <c r="N293" s="63">
        <v>1.0667135640000001</v>
      </c>
      <c r="O293" s="63">
        <v>1.0667135640000001</v>
      </c>
      <c r="P293" s="63">
        <v>1.0667135640000001</v>
      </c>
      <c r="Q293" s="63">
        <v>1.0667135640000001</v>
      </c>
      <c r="R293" s="63">
        <v>1.0667135640000001</v>
      </c>
      <c r="S293" s="63">
        <v>1.0667135640000001</v>
      </c>
      <c r="T293" s="63">
        <v>1.0667135640000001</v>
      </c>
      <c r="U293" s="63">
        <v>1.0667135640000001</v>
      </c>
      <c r="V293" s="63">
        <v>1.0667135640000001</v>
      </c>
      <c r="W293" s="63">
        <v>1.0667135640000001</v>
      </c>
      <c r="X293" s="63">
        <v>1.0667135640000001</v>
      </c>
      <c r="Y293" s="63">
        <v>1.0667135640000001</v>
      </c>
      <c r="Z293" s="63">
        <v>1.0667135640000001</v>
      </c>
      <c r="AA293" s="63">
        <v>1.0667135640000001</v>
      </c>
      <c r="AB293" s="63">
        <v>1.0667135640000001</v>
      </c>
      <c r="AC293" s="63">
        <v>1.0667135640000001</v>
      </c>
      <c r="AD293" s="63">
        <v>1.0667135640000001</v>
      </c>
      <c r="AE293" s="63">
        <v>1.0667135640000001</v>
      </c>
      <c r="AF293" s="63">
        <v>1.0667135640000001</v>
      </c>
      <c r="AG293" s="63">
        <v>1.0667135640000001</v>
      </c>
      <c r="AH293" s="63">
        <v>1.0667135640000001</v>
      </c>
    </row>
    <row r="294" spans="1:34" s="64" customFormat="1" ht="15" customHeight="1" x14ac:dyDescent="0.2">
      <c r="A294" s="65"/>
      <c r="B294" s="61" t="s">
        <v>114</v>
      </c>
      <c r="C294" s="65"/>
      <c r="D294" s="63">
        <f>SUM($E$294:$AH$294)</f>
        <v>103265617.32841814</v>
      </c>
      <c r="E294" s="63">
        <v>2133179.3949339446</v>
      </c>
      <c r="F294" s="63">
        <v>208905.73368661862</v>
      </c>
      <c r="G294" s="63">
        <v>0</v>
      </c>
      <c r="H294" s="63">
        <v>172107.2205707203</v>
      </c>
      <c r="I294" s="63">
        <v>55201.752730899701</v>
      </c>
      <c r="J294" s="63">
        <v>0</v>
      </c>
      <c r="K294" s="63">
        <v>6242843.6036888445</v>
      </c>
      <c r="L294" s="63">
        <v>33907.624058868001</v>
      </c>
      <c r="M294" s="63">
        <v>24312008.475432333</v>
      </c>
      <c r="N294" s="63">
        <v>5109336.6637194557</v>
      </c>
      <c r="O294" s="63">
        <v>615539.851541635</v>
      </c>
      <c r="P294" s="63">
        <v>0</v>
      </c>
      <c r="Q294" s="63">
        <v>1467075.8904506585</v>
      </c>
      <c r="R294" s="63">
        <v>5495552.3406403922</v>
      </c>
      <c r="S294" s="63">
        <v>819015.26463834336</v>
      </c>
      <c r="T294" s="63">
        <v>0</v>
      </c>
      <c r="U294" s="63">
        <v>109680.50202836581</v>
      </c>
      <c r="V294" s="63">
        <v>0</v>
      </c>
      <c r="W294" s="63">
        <v>54823737.18949721</v>
      </c>
      <c r="X294" s="63">
        <v>509400.98725618608</v>
      </c>
      <c r="Y294" s="63">
        <v>528687.95421265927</v>
      </c>
      <c r="Z294" s="63">
        <v>43759.919776798524</v>
      </c>
      <c r="AA294" s="63">
        <v>553147.52942002763</v>
      </c>
      <c r="AB294" s="63">
        <v>32529.430134180002</v>
      </c>
      <c r="AC294" s="63">
        <v>0</v>
      </c>
      <c r="AD294" s="63">
        <v>0</v>
      </c>
      <c r="AE294" s="63">
        <v>0</v>
      </c>
      <c r="AF294" s="63">
        <v>0</v>
      </c>
      <c r="AG294" s="63">
        <v>0</v>
      </c>
      <c r="AH294" s="63">
        <v>0</v>
      </c>
    </row>
    <row r="295" spans="1:34" s="64" customFormat="1" ht="15" customHeight="1" x14ac:dyDescent="0.2">
      <c r="A295" s="65"/>
      <c r="B295" s="65"/>
      <c r="C295" s="65"/>
      <c r="D295" s="63"/>
      <c r="E295" s="63"/>
      <c r="F295" s="63"/>
      <c r="G295" s="63"/>
      <c r="H295" s="63"/>
      <c r="I295" s="63"/>
      <c r="J295" s="63"/>
      <c r="K295" s="63"/>
      <c r="L295" s="63"/>
      <c r="M295" s="63"/>
      <c r="N295" s="63"/>
      <c r="O295" s="63"/>
      <c r="P295" s="63"/>
      <c r="Q295" s="63"/>
      <c r="R295" s="63"/>
      <c r="S295" s="63"/>
      <c r="T295" s="63"/>
      <c r="U295" s="63"/>
      <c r="V295" s="63"/>
      <c r="W295" s="63"/>
      <c r="X295" s="63"/>
      <c r="Y295" s="63"/>
      <c r="Z295" s="63"/>
      <c r="AA295" s="63"/>
      <c r="AB295" s="63"/>
      <c r="AC295" s="63"/>
      <c r="AD295" s="63"/>
      <c r="AE295" s="63"/>
      <c r="AF295" s="63"/>
      <c r="AG295" s="63"/>
      <c r="AH295" s="63"/>
    </row>
    <row r="296" spans="1:34" s="64" customFormat="1" ht="15" customHeight="1" x14ac:dyDescent="0.2">
      <c r="A296" s="65"/>
      <c r="B296" s="62" t="s">
        <v>112</v>
      </c>
      <c r="C296" s="62" t="s">
        <v>37</v>
      </c>
      <c r="D296" s="63"/>
      <c r="E296" s="63">
        <v>0</v>
      </c>
      <c r="F296" s="63">
        <v>0</v>
      </c>
      <c r="G296" s="63">
        <v>1562125.2662042794</v>
      </c>
      <c r="H296" s="63">
        <v>0</v>
      </c>
      <c r="I296" s="63">
        <v>0</v>
      </c>
      <c r="J296" s="63">
        <v>0</v>
      </c>
      <c r="K296" s="63">
        <v>0</v>
      </c>
      <c r="L296" s="63">
        <v>0</v>
      </c>
      <c r="M296" s="63">
        <v>0</v>
      </c>
      <c r="N296" s="63">
        <v>0</v>
      </c>
      <c r="O296" s="63">
        <v>0</v>
      </c>
      <c r="P296" s="63">
        <v>242963.0255977503</v>
      </c>
      <c r="Q296" s="63">
        <v>0</v>
      </c>
      <c r="R296" s="63">
        <v>0</v>
      </c>
      <c r="S296" s="63">
        <v>0</v>
      </c>
      <c r="T296" s="63">
        <v>0</v>
      </c>
      <c r="U296" s="63">
        <v>0</v>
      </c>
      <c r="V296" s="63">
        <v>0</v>
      </c>
      <c r="W296" s="63">
        <v>0</v>
      </c>
      <c r="X296" s="63">
        <v>0</v>
      </c>
      <c r="Y296" s="63">
        <v>0</v>
      </c>
      <c r="Z296" s="63">
        <v>0</v>
      </c>
      <c r="AA296" s="63">
        <v>0</v>
      </c>
      <c r="AB296" s="63">
        <v>0</v>
      </c>
      <c r="AC296" s="63">
        <v>0</v>
      </c>
      <c r="AD296" s="63">
        <v>132318.34192363205</v>
      </c>
      <c r="AE296" s="63">
        <v>1046658.8274613477</v>
      </c>
      <c r="AF296" s="63">
        <v>6345.1632120653412</v>
      </c>
      <c r="AG296" s="63">
        <v>4609.6577865000008</v>
      </c>
      <c r="AH296" s="63">
        <v>1131135.6004430582</v>
      </c>
    </row>
    <row r="297" spans="1:34" s="64" customFormat="1" ht="15" customHeight="1" x14ac:dyDescent="0.2">
      <c r="A297" s="65"/>
      <c r="B297" s="62" t="s">
        <v>113</v>
      </c>
      <c r="C297" s="62" t="s">
        <v>37</v>
      </c>
      <c r="D297" s="63"/>
      <c r="E297" s="63">
        <v>1072823.2210948288</v>
      </c>
      <c r="F297" s="63">
        <v>15.843377147392877</v>
      </c>
      <c r="G297" s="63">
        <v>0</v>
      </c>
      <c r="H297" s="63">
        <v>24909.59095400626</v>
      </c>
      <c r="I297" s="63">
        <v>30419.926704891001</v>
      </c>
      <c r="J297" s="63">
        <v>0</v>
      </c>
      <c r="K297" s="63">
        <v>0</v>
      </c>
      <c r="L297" s="63">
        <v>0</v>
      </c>
      <c r="M297" s="63">
        <v>56469.073376572545</v>
      </c>
      <c r="N297" s="63">
        <v>203459.22402681439</v>
      </c>
      <c r="O297" s="63">
        <v>240374.90850998569</v>
      </c>
      <c r="P297" s="63">
        <v>0</v>
      </c>
      <c r="Q297" s="63">
        <v>14695.986203892115</v>
      </c>
      <c r="R297" s="63">
        <v>179483.11690796094</v>
      </c>
      <c r="S297" s="63">
        <v>376244.67775980057</v>
      </c>
      <c r="T297" s="63">
        <v>95405.935478719068</v>
      </c>
      <c r="U297" s="63">
        <v>0</v>
      </c>
      <c r="V297" s="63">
        <v>13686.407634323738</v>
      </c>
      <c r="W297" s="63">
        <v>0</v>
      </c>
      <c r="X297" s="63">
        <v>660.22096389499154</v>
      </c>
      <c r="Y297" s="63">
        <v>87156.818197830798</v>
      </c>
      <c r="Z297" s="63">
        <v>29314.909441039257</v>
      </c>
      <c r="AA297" s="63">
        <v>0</v>
      </c>
      <c r="AB297" s="63">
        <v>0</v>
      </c>
      <c r="AC297" s="63">
        <v>7552.2752997035086</v>
      </c>
      <c r="AD297" s="63">
        <v>0</v>
      </c>
      <c r="AE297" s="63">
        <v>0</v>
      </c>
      <c r="AF297" s="63">
        <v>0</v>
      </c>
      <c r="AG297" s="63">
        <v>0</v>
      </c>
      <c r="AH297" s="63">
        <v>0</v>
      </c>
    </row>
    <row r="298" spans="1:34" s="64" customFormat="1" ht="15" customHeight="1" x14ac:dyDescent="0.2">
      <c r="A298" s="65"/>
      <c r="B298" s="62" t="s">
        <v>114</v>
      </c>
      <c r="C298" s="62" t="s">
        <v>37</v>
      </c>
      <c r="D298" s="63"/>
      <c r="E298" s="63">
        <v>2133179.3949339446</v>
      </c>
      <c r="F298" s="63">
        <v>208905.73368661862</v>
      </c>
      <c r="G298" s="63">
        <v>0</v>
      </c>
      <c r="H298" s="63">
        <v>172107.2205707203</v>
      </c>
      <c r="I298" s="63">
        <v>55201.752730899701</v>
      </c>
      <c r="J298" s="63">
        <v>0</v>
      </c>
      <c r="K298" s="63">
        <v>6242843.6036888445</v>
      </c>
      <c r="L298" s="63">
        <v>33907.624058868001</v>
      </c>
      <c r="M298" s="63">
        <v>24312008.475432333</v>
      </c>
      <c r="N298" s="63">
        <v>5109336.6637194557</v>
      </c>
      <c r="O298" s="63">
        <v>615539.851541635</v>
      </c>
      <c r="P298" s="63">
        <v>0</v>
      </c>
      <c r="Q298" s="63">
        <v>1467075.8904506585</v>
      </c>
      <c r="R298" s="63">
        <v>5495552.3406403922</v>
      </c>
      <c r="S298" s="63">
        <v>819015.26463834336</v>
      </c>
      <c r="T298" s="63">
        <v>0</v>
      </c>
      <c r="U298" s="63">
        <v>109680.50202836581</v>
      </c>
      <c r="V298" s="63">
        <v>0</v>
      </c>
      <c r="W298" s="63">
        <v>54823737.18949721</v>
      </c>
      <c r="X298" s="63">
        <v>509400.98725618608</v>
      </c>
      <c r="Y298" s="63">
        <v>528687.95421265927</v>
      </c>
      <c r="Z298" s="63">
        <v>43759.919776798524</v>
      </c>
      <c r="AA298" s="63">
        <v>553147.52942002763</v>
      </c>
      <c r="AB298" s="63">
        <v>32529.430134180002</v>
      </c>
      <c r="AC298" s="63">
        <v>0</v>
      </c>
      <c r="AD298" s="63">
        <v>0</v>
      </c>
      <c r="AE298" s="63">
        <v>0</v>
      </c>
      <c r="AF298" s="63">
        <v>0</v>
      </c>
      <c r="AG298" s="63">
        <v>0</v>
      </c>
      <c r="AH298" s="63">
        <v>0</v>
      </c>
    </row>
    <row r="299" spans="1:34" s="64" customFormat="1" ht="15" customHeight="1" x14ac:dyDescent="0.2">
      <c r="A299" s="65"/>
      <c r="B299" s="61" t="s">
        <v>115</v>
      </c>
      <c r="C299" s="65"/>
      <c r="D299" s="63">
        <f>SUM($E$299:$AH$299)</f>
        <v>109824445.3469782</v>
      </c>
      <c r="E299" s="63">
        <v>3206002.6160287736</v>
      </c>
      <c r="F299" s="63">
        <v>208921.57706376602</v>
      </c>
      <c r="G299" s="63">
        <v>1562125.2662042794</v>
      </c>
      <c r="H299" s="63">
        <v>197016.81152472657</v>
      </c>
      <c r="I299" s="63">
        <v>85621.679435790706</v>
      </c>
      <c r="J299" s="63">
        <v>0</v>
      </c>
      <c r="K299" s="63">
        <v>6242843.6036888445</v>
      </c>
      <c r="L299" s="63">
        <v>33907.624058868001</v>
      </c>
      <c r="M299" s="63">
        <v>24368477.548808906</v>
      </c>
      <c r="N299" s="63">
        <v>5312795.8877462698</v>
      </c>
      <c r="O299" s="63">
        <v>855914.76005162066</v>
      </c>
      <c r="P299" s="63">
        <v>242963.0255977503</v>
      </c>
      <c r="Q299" s="63">
        <v>1481771.8766545507</v>
      </c>
      <c r="R299" s="63">
        <v>5675035.4575483529</v>
      </c>
      <c r="S299" s="63">
        <v>1195259.9423981439</v>
      </c>
      <c r="T299" s="63">
        <v>95405.935478719068</v>
      </c>
      <c r="U299" s="63">
        <v>109680.50202836581</v>
      </c>
      <c r="V299" s="63">
        <v>13686.407634323738</v>
      </c>
      <c r="W299" s="63">
        <v>54823737.18949721</v>
      </c>
      <c r="X299" s="63">
        <v>510061.20822008105</v>
      </c>
      <c r="Y299" s="63">
        <v>615844.77241049008</v>
      </c>
      <c r="Z299" s="63">
        <v>73074.829217837774</v>
      </c>
      <c r="AA299" s="63">
        <v>553147.52942002763</v>
      </c>
      <c r="AB299" s="63">
        <v>32529.430134180002</v>
      </c>
      <c r="AC299" s="63">
        <v>7552.2752997035086</v>
      </c>
      <c r="AD299" s="63">
        <v>132318.34192363205</v>
      </c>
      <c r="AE299" s="63">
        <v>1046658.8274613477</v>
      </c>
      <c r="AF299" s="63">
        <v>6345.1632120653412</v>
      </c>
      <c r="AG299" s="63">
        <v>4609.6577865000008</v>
      </c>
      <c r="AH299" s="63">
        <v>1131135.6004430582</v>
      </c>
    </row>
    <row r="300" spans="1:34" s="64" customFormat="1" ht="15" customHeight="1" x14ac:dyDescent="0.2">
      <c r="A300" s="65"/>
      <c r="B300" s="65"/>
      <c r="C300" s="65"/>
      <c r="D300" s="63"/>
      <c r="E300" s="63"/>
      <c r="F300" s="63"/>
      <c r="G300" s="63"/>
      <c r="H300" s="63"/>
      <c r="I300" s="63"/>
      <c r="J300" s="63"/>
      <c r="K300" s="63"/>
      <c r="L300" s="63"/>
      <c r="M300" s="63"/>
      <c r="N300" s="63"/>
      <c r="O300" s="63"/>
      <c r="P300" s="63"/>
      <c r="Q300" s="63"/>
      <c r="R300" s="63"/>
      <c r="S300" s="63"/>
      <c r="T300" s="63"/>
      <c r="U300" s="63"/>
      <c r="V300" s="63"/>
      <c r="W300" s="63"/>
      <c r="X300" s="63"/>
      <c r="Y300" s="63"/>
      <c r="Z300" s="63"/>
      <c r="AA300" s="63"/>
      <c r="AB300" s="63"/>
      <c r="AC300" s="63"/>
      <c r="AD300" s="63"/>
      <c r="AE300" s="63"/>
      <c r="AF300" s="63"/>
      <c r="AG300" s="63"/>
      <c r="AH300" s="63"/>
    </row>
    <row r="301" spans="1:34" s="64" customFormat="1" ht="15" customHeight="1" x14ac:dyDescent="0.2">
      <c r="A301" s="65"/>
      <c r="B301" s="62" t="s">
        <v>115</v>
      </c>
      <c r="C301" s="62" t="s">
        <v>37</v>
      </c>
      <c r="D301" s="63"/>
      <c r="E301" s="63">
        <v>3206002.6160287736</v>
      </c>
      <c r="F301" s="63">
        <v>208921.57706376602</v>
      </c>
      <c r="G301" s="63">
        <v>1562125.2662042794</v>
      </c>
      <c r="H301" s="63">
        <v>197016.81152472657</v>
      </c>
      <c r="I301" s="63">
        <v>85621.679435790706</v>
      </c>
      <c r="J301" s="63">
        <v>0</v>
      </c>
      <c r="K301" s="63">
        <v>6242843.6036888445</v>
      </c>
      <c r="L301" s="63">
        <v>33907.624058868001</v>
      </c>
      <c r="M301" s="63">
        <v>24368477.548808906</v>
      </c>
      <c r="N301" s="63">
        <v>5312795.8877462698</v>
      </c>
      <c r="O301" s="63">
        <v>855914.76005162066</v>
      </c>
      <c r="P301" s="63">
        <v>242963.0255977503</v>
      </c>
      <c r="Q301" s="63">
        <v>1481771.8766545507</v>
      </c>
      <c r="R301" s="63">
        <v>5675035.4575483529</v>
      </c>
      <c r="S301" s="63">
        <v>1195259.9423981439</v>
      </c>
      <c r="T301" s="63">
        <v>95405.935478719068</v>
      </c>
      <c r="U301" s="63">
        <v>109680.50202836581</v>
      </c>
      <c r="V301" s="63">
        <v>13686.407634323738</v>
      </c>
      <c r="W301" s="63">
        <v>54823737.18949721</v>
      </c>
      <c r="X301" s="63">
        <v>510061.20822008105</v>
      </c>
      <c r="Y301" s="63">
        <v>615844.77241049008</v>
      </c>
      <c r="Z301" s="63">
        <v>73074.829217837774</v>
      </c>
      <c r="AA301" s="63">
        <v>553147.52942002763</v>
      </c>
      <c r="AB301" s="63">
        <v>32529.430134180002</v>
      </c>
      <c r="AC301" s="63">
        <v>7552.2752997035086</v>
      </c>
      <c r="AD301" s="63">
        <v>132318.34192363205</v>
      </c>
      <c r="AE301" s="63">
        <v>0</v>
      </c>
      <c r="AF301" s="63">
        <v>6345.1632120653412</v>
      </c>
      <c r="AG301" s="63">
        <v>4609.6577865000008</v>
      </c>
      <c r="AH301" s="63">
        <v>1131135.6004430582</v>
      </c>
    </row>
    <row r="302" spans="1:34" s="64" customFormat="1" ht="15" customHeight="1" x14ac:dyDescent="0.2">
      <c r="A302" s="65"/>
      <c r="B302" s="62" t="s">
        <v>65</v>
      </c>
      <c r="C302" s="62" t="s">
        <v>62</v>
      </c>
      <c r="D302" s="63"/>
      <c r="E302" s="63">
        <v>1000</v>
      </c>
      <c r="F302" s="63">
        <v>1000</v>
      </c>
      <c r="G302" s="63">
        <v>1000</v>
      </c>
      <c r="H302" s="63">
        <v>1000</v>
      </c>
      <c r="I302" s="63">
        <v>1000</v>
      </c>
      <c r="J302" s="63">
        <v>1000</v>
      </c>
      <c r="K302" s="63">
        <v>1000</v>
      </c>
      <c r="L302" s="63">
        <v>1000</v>
      </c>
      <c r="M302" s="63">
        <v>1000</v>
      </c>
      <c r="N302" s="63">
        <v>1000</v>
      </c>
      <c r="O302" s="63">
        <v>1000</v>
      </c>
      <c r="P302" s="63">
        <v>1000</v>
      </c>
      <c r="Q302" s="63">
        <v>1000</v>
      </c>
      <c r="R302" s="63">
        <v>1000</v>
      </c>
      <c r="S302" s="63">
        <v>1000</v>
      </c>
      <c r="T302" s="63">
        <v>1000</v>
      </c>
      <c r="U302" s="63">
        <v>1000</v>
      </c>
      <c r="V302" s="63">
        <v>1000</v>
      </c>
      <c r="W302" s="63">
        <v>1000</v>
      </c>
      <c r="X302" s="63">
        <v>1000</v>
      </c>
      <c r="Y302" s="63">
        <v>1000</v>
      </c>
      <c r="Z302" s="63">
        <v>1000</v>
      </c>
      <c r="AA302" s="63">
        <v>1000</v>
      </c>
      <c r="AB302" s="63">
        <v>1000</v>
      </c>
      <c r="AC302" s="63">
        <v>1000</v>
      </c>
      <c r="AD302" s="63">
        <v>1000</v>
      </c>
      <c r="AE302" s="63">
        <v>1000</v>
      </c>
      <c r="AF302" s="63">
        <v>1000</v>
      </c>
      <c r="AG302" s="63">
        <v>1000</v>
      </c>
      <c r="AH302" s="63">
        <v>1000</v>
      </c>
    </row>
    <row r="303" spans="1:34" s="64" customFormat="1" ht="15" customHeight="1" x14ac:dyDescent="0.2">
      <c r="A303" s="65"/>
      <c r="B303" s="61" t="s">
        <v>116</v>
      </c>
      <c r="C303" s="65"/>
      <c r="D303" s="63">
        <f>SUM($E$303:$AH$303)</f>
        <v>108777.78651951683</v>
      </c>
      <c r="E303" s="63">
        <v>3206.0026160287734</v>
      </c>
      <c r="F303" s="63">
        <v>208.92157706376602</v>
      </c>
      <c r="G303" s="63">
        <v>1562.1252662042793</v>
      </c>
      <c r="H303" s="63">
        <v>197.01681152472656</v>
      </c>
      <c r="I303" s="63">
        <v>85.62167943579071</v>
      </c>
      <c r="J303" s="63">
        <v>0</v>
      </c>
      <c r="K303" s="63">
        <v>6242.8436036888443</v>
      </c>
      <c r="L303" s="63">
        <v>33.907624058868002</v>
      </c>
      <c r="M303" s="63">
        <v>24368.477548808907</v>
      </c>
      <c r="N303" s="63">
        <v>5312.7958877462697</v>
      </c>
      <c r="O303" s="63">
        <v>855.91476005162065</v>
      </c>
      <c r="P303" s="63">
        <v>242.96302559775029</v>
      </c>
      <c r="Q303" s="63">
        <v>1481.7718766545506</v>
      </c>
      <c r="R303" s="63">
        <v>5675.0354575483525</v>
      </c>
      <c r="S303" s="63">
        <v>1195.2599423981439</v>
      </c>
      <c r="T303" s="63">
        <v>95.405935478719073</v>
      </c>
      <c r="U303" s="63">
        <v>109.68050202836581</v>
      </c>
      <c r="V303" s="63">
        <v>13.686407634323738</v>
      </c>
      <c r="W303" s="63">
        <v>54823.737189497209</v>
      </c>
      <c r="X303" s="63">
        <v>510.06120822008103</v>
      </c>
      <c r="Y303" s="63">
        <v>615.84477241049012</v>
      </c>
      <c r="Z303" s="63">
        <v>73.074829217837774</v>
      </c>
      <c r="AA303" s="63">
        <v>553.14752942002758</v>
      </c>
      <c r="AB303" s="63">
        <v>32.529430134180004</v>
      </c>
      <c r="AC303" s="63">
        <v>7.552275299703509</v>
      </c>
      <c r="AD303" s="63">
        <v>132.31834192363206</v>
      </c>
      <c r="AE303" s="63">
        <v>0</v>
      </c>
      <c r="AF303" s="63">
        <v>6.3451632120653416</v>
      </c>
      <c r="AG303" s="63">
        <v>4.6096577865000006</v>
      </c>
      <c r="AH303" s="63">
        <v>1131.1356004430581</v>
      </c>
    </row>
    <row r="304" spans="1:34" s="64" customFormat="1" ht="15" customHeight="1" x14ac:dyDescent="0.2">
      <c r="A304" s="65"/>
      <c r="B304" s="65"/>
      <c r="C304" s="65"/>
      <c r="D304" s="63"/>
      <c r="E304" s="63"/>
      <c r="F304" s="63"/>
      <c r="G304" s="63"/>
      <c r="H304" s="63"/>
      <c r="I304" s="63"/>
      <c r="J304" s="63"/>
      <c r="K304" s="63"/>
      <c r="L304" s="63"/>
      <c r="M304" s="63"/>
      <c r="N304" s="63"/>
      <c r="O304" s="63"/>
      <c r="P304" s="63"/>
      <c r="Q304" s="63"/>
      <c r="R304" s="63"/>
      <c r="S304" s="63"/>
      <c r="T304" s="63"/>
      <c r="U304" s="63"/>
      <c r="V304" s="63"/>
      <c r="W304" s="63"/>
      <c r="X304" s="63"/>
      <c r="Y304" s="63"/>
      <c r="Z304" s="63"/>
      <c r="AA304" s="63"/>
      <c r="AB304" s="63"/>
      <c r="AC304" s="63"/>
      <c r="AD304" s="63"/>
      <c r="AE304" s="63"/>
      <c r="AF304" s="63"/>
      <c r="AG304" s="63"/>
      <c r="AH304" s="63"/>
    </row>
    <row r="305" spans="1:34" s="64" customFormat="1" ht="15" customHeight="1" x14ac:dyDescent="0.2">
      <c r="A305" s="65"/>
      <c r="B305" s="62" t="s">
        <v>116</v>
      </c>
      <c r="C305" s="62" t="s">
        <v>77</v>
      </c>
      <c r="D305" s="63"/>
      <c r="E305" s="63">
        <v>108777.78651951683</v>
      </c>
      <c r="F305" s="63">
        <v>108777.78651951683</v>
      </c>
      <c r="G305" s="63">
        <v>108777.78651951683</v>
      </c>
      <c r="H305" s="63">
        <v>108777.78651951683</v>
      </c>
      <c r="I305" s="63">
        <v>108777.78651951683</v>
      </c>
      <c r="J305" s="63">
        <v>108777.78651951683</v>
      </c>
      <c r="K305" s="63">
        <v>108777.78651951683</v>
      </c>
      <c r="L305" s="63">
        <v>108777.78651951683</v>
      </c>
      <c r="M305" s="63">
        <v>108777.78651951683</v>
      </c>
      <c r="N305" s="63">
        <v>108777.78651951683</v>
      </c>
      <c r="O305" s="63">
        <v>108777.78651951683</v>
      </c>
      <c r="P305" s="63">
        <v>108777.78651951683</v>
      </c>
      <c r="Q305" s="63">
        <v>108777.78651951683</v>
      </c>
      <c r="R305" s="63">
        <v>108777.78651951683</v>
      </c>
      <c r="S305" s="63">
        <v>108777.78651951683</v>
      </c>
      <c r="T305" s="63">
        <v>108777.78651951683</v>
      </c>
      <c r="U305" s="63">
        <v>108777.78651951683</v>
      </c>
      <c r="V305" s="63">
        <v>108777.78651951683</v>
      </c>
      <c r="W305" s="63">
        <v>108777.78651951683</v>
      </c>
      <c r="X305" s="63">
        <v>108777.78651951683</v>
      </c>
      <c r="Y305" s="63">
        <v>108777.78651951683</v>
      </c>
      <c r="Z305" s="63">
        <v>108777.78651951683</v>
      </c>
      <c r="AA305" s="63">
        <v>108777.78651951683</v>
      </c>
      <c r="AB305" s="63">
        <v>108777.78651951683</v>
      </c>
      <c r="AC305" s="63">
        <v>108777.78651951683</v>
      </c>
      <c r="AD305" s="63">
        <v>108777.78651951683</v>
      </c>
      <c r="AE305" s="63">
        <v>0</v>
      </c>
      <c r="AF305" s="63">
        <v>108777.78651951683</v>
      </c>
      <c r="AG305" s="63">
        <v>108777.78651951683</v>
      </c>
      <c r="AH305" s="63">
        <v>108777.78651951683</v>
      </c>
    </row>
    <row r="306" spans="1:34" s="64" customFormat="1" ht="15" customHeight="1" x14ac:dyDescent="0.2">
      <c r="A306" s="65"/>
      <c r="B306" s="61" t="s">
        <v>117</v>
      </c>
      <c r="C306" s="65"/>
      <c r="D306" s="63">
        <f>SUM($E$306:$AH$306)</f>
        <v>3154555.809065986</v>
      </c>
      <c r="E306" s="63">
        <v>108777.78651951683</v>
      </c>
      <c r="F306" s="63">
        <v>108777.78651951683</v>
      </c>
      <c r="G306" s="63">
        <v>108777.78651951683</v>
      </c>
      <c r="H306" s="63">
        <v>108777.78651951683</v>
      </c>
      <c r="I306" s="63">
        <v>108777.78651951683</v>
      </c>
      <c r="J306" s="63">
        <v>108777.78651951683</v>
      </c>
      <c r="K306" s="63">
        <v>108777.78651951683</v>
      </c>
      <c r="L306" s="63">
        <v>108777.78651951683</v>
      </c>
      <c r="M306" s="63">
        <v>108777.78651951683</v>
      </c>
      <c r="N306" s="63">
        <v>108777.78651951683</v>
      </c>
      <c r="O306" s="63">
        <v>108777.78651951683</v>
      </c>
      <c r="P306" s="63">
        <v>108777.78651951683</v>
      </c>
      <c r="Q306" s="63">
        <v>108777.78651951683</v>
      </c>
      <c r="R306" s="63">
        <v>108777.78651951683</v>
      </c>
      <c r="S306" s="63">
        <v>108777.78651951683</v>
      </c>
      <c r="T306" s="63">
        <v>108777.78651951683</v>
      </c>
      <c r="U306" s="63">
        <v>108777.78651951683</v>
      </c>
      <c r="V306" s="63">
        <v>108777.78651951683</v>
      </c>
      <c r="W306" s="63">
        <v>108777.78651951683</v>
      </c>
      <c r="X306" s="63">
        <v>108777.78651951683</v>
      </c>
      <c r="Y306" s="63">
        <v>108777.78651951683</v>
      </c>
      <c r="Z306" s="63">
        <v>108777.78651951683</v>
      </c>
      <c r="AA306" s="63">
        <v>108777.78651951683</v>
      </c>
      <c r="AB306" s="63">
        <v>108777.78651951683</v>
      </c>
      <c r="AC306" s="63">
        <v>108777.78651951683</v>
      </c>
      <c r="AD306" s="63">
        <v>108777.78651951683</v>
      </c>
      <c r="AE306" s="63">
        <v>0</v>
      </c>
      <c r="AF306" s="63">
        <v>108777.78651951683</v>
      </c>
      <c r="AG306" s="63">
        <v>108777.78651951683</v>
      </c>
      <c r="AH306" s="63">
        <v>108777.78651951683</v>
      </c>
    </row>
    <row r="307" spans="1:34" s="64" customFormat="1" ht="15" customHeight="1" x14ac:dyDescent="0.2">
      <c r="A307" s="65"/>
      <c r="B307" s="65"/>
      <c r="C307" s="65"/>
      <c r="D307" s="63"/>
      <c r="E307" s="63"/>
      <c r="F307" s="63"/>
      <c r="G307" s="63"/>
      <c r="H307" s="63"/>
      <c r="I307" s="63"/>
      <c r="J307" s="63"/>
      <c r="K307" s="63"/>
      <c r="L307" s="63"/>
      <c r="M307" s="63"/>
      <c r="N307" s="63"/>
      <c r="O307" s="63"/>
      <c r="P307" s="63"/>
      <c r="Q307" s="63"/>
      <c r="R307" s="63"/>
      <c r="S307" s="63"/>
      <c r="T307" s="63"/>
      <c r="U307" s="63"/>
      <c r="V307" s="63"/>
      <c r="W307" s="63"/>
      <c r="X307" s="63"/>
      <c r="Y307" s="63"/>
      <c r="Z307" s="63"/>
      <c r="AA307" s="63"/>
      <c r="AB307" s="63"/>
      <c r="AC307" s="63"/>
      <c r="AD307" s="63"/>
      <c r="AE307" s="63"/>
      <c r="AF307" s="63"/>
      <c r="AG307" s="63"/>
      <c r="AH307" s="63"/>
    </row>
    <row r="308" spans="1:34" s="64" customFormat="1" ht="15" customHeight="1" x14ac:dyDescent="0.2">
      <c r="A308" s="65"/>
      <c r="B308" s="62" t="s">
        <v>116</v>
      </c>
      <c r="C308" s="62" t="s">
        <v>37</v>
      </c>
      <c r="D308" s="63"/>
      <c r="E308" s="63">
        <v>3206.0026160287734</v>
      </c>
      <c r="F308" s="63">
        <v>208.92157706376602</v>
      </c>
      <c r="G308" s="63">
        <v>1562.1252662042793</v>
      </c>
      <c r="H308" s="63">
        <v>197.01681152472656</v>
      </c>
      <c r="I308" s="63">
        <v>85.62167943579071</v>
      </c>
      <c r="J308" s="63">
        <v>0</v>
      </c>
      <c r="K308" s="63">
        <v>6242.8436036888443</v>
      </c>
      <c r="L308" s="63">
        <v>33.907624058868002</v>
      </c>
      <c r="M308" s="63">
        <v>24368.477548808907</v>
      </c>
      <c r="N308" s="63">
        <v>5312.7958877462697</v>
      </c>
      <c r="O308" s="63">
        <v>855.91476005162065</v>
      </c>
      <c r="P308" s="63">
        <v>242.96302559775029</v>
      </c>
      <c r="Q308" s="63">
        <v>1481.7718766545506</v>
      </c>
      <c r="R308" s="63">
        <v>5675.0354575483525</v>
      </c>
      <c r="S308" s="63">
        <v>1195.2599423981439</v>
      </c>
      <c r="T308" s="63">
        <v>95.405935478719073</v>
      </c>
      <c r="U308" s="63">
        <v>109.68050202836581</v>
      </c>
      <c r="V308" s="63">
        <v>13.686407634323738</v>
      </c>
      <c r="W308" s="63">
        <v>54823.737189497209</v>
      </c>
      <c r="X308" s="63">
        <v>510.06120822008103</v>
      </c>
      <c r="Y308" s="63">
        <v>615.84477241049012</v>
      </c>
      <c r="Z308" s="63">
        <v>73.074829217837774</v>
      </c>
      <c r="AA308" s="63">
        <v>553.14752942002758</v>
      </c>
      <c r="AB308" s="63">
        <v>32.529430134180004</v>
      </c>
      <c r="AC308" s="63">
        <v>7.552275299703509</v>
      </c>
      <c r="AD308" s="63">
        <v>132.31834192363206</v>
      </c>
      <c r="AE308" s="63">
        <v>0</v>
      </c>
      <c r="AF308" s="63">
        <v>6.3451632120653416</v>
      </c>
      <c r="AG308" s="63">
        <v>4.6096577865000006</v>
      </c>
      <c r="AH308" s="63">
        <v>1131.1356004430581</v>
      </c>
    </row>
    <row r="309" spans="1:34" s="64" customFormat="1" ht="15" customHeight="1" x14ac:dyDescent="0.2">
      <c r="A309" s="65"/>
      <c r="B309" s="62" t="s">
        <v>117</v>
      </c>
      <c r="C309" s="62" t="s">
        <v>62</v>
      </c>
      <c r="D309" s="63"/>
      <c r="E309" s="63">
        <v>108777.78651951683</v>
      </c>
      <c r="F309" s="63">
        <v>108777.78651951683</v>
      </c>
      <c r="G309" s="63">
        <v>108777.78651951683</v>
      </c>
      <c r="H309" s="63">
        <v>108777.78651951683</v>
      </c>
      <c r="I309" s="63">
        <v>108777.78651951683</v>
      </c>
      <c r="J309" s="63">
        <v>108777.78651951683</v>
      </c>
      <c r="K309" s="63">
        <v>108777.78651951683</v>
      </c>
      <c r="L309" s="63">
        <v>108777.78651951683</v>
      </c>
      <c r="M309" s="63">
        <v>108777.78651951683</v>
      </c>
      <c r="N309" s="63">
        <v>108777.78651951683</v>
      </c>
      <c r="O309" s="63">
        <v>108777.78651951683</v>
      </c>
      <c r="P309" s="63">
        <v>108777.78651951683</v>
      </c>
      <c r="Q309" s="63">
        <v>108777.78651951683</v>
      </c>
      <c r="R309" s="63">
        <v>108777.78651951683</v>
      </c>
      <c r="S309" s="63">
        <v>108777.78651951683</v>
      </c>
      <c r="T309" s="63">
        <v>108777.78651951683</v>
      </c>
      <c r="U309" s="63">
        <v>108777.78651951683</v>
      </c>
      <c r="V309" s="63">
        <v>108777.78651951683</v>
      </c>
      <c r="W309" s="63">
        <v>108777.78651951683</v>
      </c>
      <c r="X309" s="63">
        <v>108777.78651951683</v>
      </c>
      <c r="Y309" s="63">
        <v>108777.78651951683</v>
      </c>
      <c r="Z309" s="63">
        <v>108777.78651951683</v>
      </c>
      <c r="AA309" s="63">
        <v>108777.78651951683</v>
      </c>
      <c r="AB309" s="63">
        <v>108777.78651951683</v>
      </c>
      <c r="AC309" s="63">
        <v>108777.78651951683</v>
      </c>
      <c r="AD309" s="63">
        <v>108777.78651951683</v>
      </c>
      <c r="AE309" s="63">
        <v>0</v>
      </c>
      <c r="AF309" s="63">
        <v>108777.78651951683</v>
      </c>
      <c r="AG309" s="63">
        <v>108777.78651951683</v>
      </c>
      <c r="AH309" s="63">
        <v>108777.78651951683</v>
      </c>
    </row>
    <row r="310" spans="1:34" s="64" customFormat="1" ht="15" customHeight="1" x14ac:dyDescent="0.2">
      <c r="A310" s="65"/>
      <c r="B310" s="61" t="s">
        <v>118</v>
      </c>
      <c r="C310" s="65"/>
      <c r="D310" s="63">
        <f>SUM($E$310:$AH$310)</f>
        <v>1</v>
      </c>
      <c r="E310" s="63">
        <v>2.9472953243570136E-2</v>
      </c>
      <c r="F310" s="63">
        <v>1.9206272139604668E-3</v>
      </c>
      <c r="G310" s="63">
        <v>1.4360700986722175E-2</v>
      </c>
      <c r="H310" s="63">
        <v>1.8111860686683301E-3</v>
      </c>
      <c r="I310" s="63">
        <v>7.8712467108740564E-4</v>
      </c>
      <c r="J310" s="63">
        <v>0</v>
      </c>
      <c r="K310" s="63">
        <v>5.7390794604638862E-2</v>
      </c>
      <c r="L310" s="63">
        <v>3.1171459857554947E-4</v>
      </c>
      <c r="M310" s="63">
        <v>0.22402071533636819</v>
      </c>
      <c r="N310" s="63">
        <v>4.884081628920673E-2</v>
      </c>
      <c r="O310" s="63">
        <v>7.8684700933683103E-3</v>
      </c>
      <c r="P310" s="63">
        <v>2.2335720680817313E-3</v>
      </c>
      <c r="Q310" s="63">
        <v>1.3622007985873956E-2</v>
      </c>
      <c r="R310" s="63">
        <v>5.2170903997298582E-2</v>
      </c>
      <c r="S310" s="63">
        <v>1.0988088475064633E-2</v>
      </c>
      <c r="T310" s="63">
        <v>8.7707185935063513E-4</v>
      </c>
      <c r="U310" s="63">
        <v>1.008298711876133E-3</v>
      </c>
      <c r="V310" s="63">
        <v>1.2581987621037069E-4</v>
      </c>
      <c r="W310" s="63">
        <v>0.50399754346592418</v>
      </c>
      <c r="X310" s="63">
        <v>4.6890199234617281E-3</v>
      </c>
      <c r="Y310" s="63">
        <v>5.6614938777044864E-3</v>
      </c>
      <c r="Z310" s="63">
        <v>6.7178080705592173E-4</v>
      </c>
      <c r="AA310" s="63">
        <v>5.085114774980113E-3</v>
      </c>
      <c r="AB310" s="63">
        <v>2.9904478823296885E-4</v>
      </c>
      <c r="AC310" s="63">
        <v>6.9428470107253798E-5</v>
      </c>
      <c r="AD310" s="63">
        <v>1.2164095828507376E-3</v>
      </c>
      <c r="AE310" s="63">
        <v>0</v>
      </c>
      <c r="AF310" s="63">
        <v>5.8331424228115704E-5</v>
      </c>
      <c r="AG310" s="63">
        <v>4.2376830178217859E-5</v>
      </c>
      <c r="AH310" s="63">
        <v>1.039858997535412E-2</v>
      </c>
    </row>
    <row r="311" spans="1:34" s="64" customFormat="1" ht="15" customHeight="1" x14ac:dyDescent="0.2">
      <c r="A311" s="65"/>
      <c r="B311" s="65"/>
      <c r="C311" s="65"/>
      <c r="D311" s="63"/>
      <c r="E311" s="63"/>
      <c r="F311" s="63"/>
      <c r="G311" s="63"/>
      <c r="H311" s="63"/>
      <c r="I311" s="63"/>
      <c r="J311" s="63"/>
      <c r="K311" s="63"/>
      <c r="L311" s="63"/>
      <c r="M311" s="63"/>
      <c r="N311" s="63"/>
      <c r="O311" s="63"/>
      <c r="P311" s="63"/>
      <c r="Q311" s="63"/>
      <c r="R311" s="63"/>
      <c r="S311" s="63"/>
      <c r="T311" s="63"/>
      <c r="U311" s="63"/>
      <c r="V311" s="63"/>
      <c r="W311" s="63"/>
      <c r="X311" s="63"/>
      <c r="Y311" s="63"/>
      <c r="Z311" s="63"/>
      <c r="AA311" s="63"/>
      <c r="AB311" s="63"/>
      <c r="AC311" s="63"/>
      <c r="AD311" s="63"/>
      <c r="AE311" s="63"/>
      <c r="AF311" s="63"/>
      <c r="AG311" s="63"/>
      <c r="AH311" s="63"/>
    </row>
    <row r="312" spans="1:34" s="64" customFormat="1" ht="15" customHeight="1" x14ac:dyDescent="0.2">
      <c r="A312" s="65"/>
      <c r="B312" s="62" t="s">
        <v>118</v>
      </c>
      <c r="C312" s="62" t="s">
        <v>37</v>
      </c>
      <c r="D312" s="63"/>
      <c r="E312" s="63">
        <v>2.9472953243570136E-2</v>
      </c>
      <c r="F312" s="63">
        <v>1.9206272139604668E-3</v>
      </c>
      <c r="G312" s="63">
        <v>1.4360700986722175E-2</v>
      </c>
      <c r="H312" s="63">
        <v>1.8111860686683301E-3</v>
      </c>
      <c r="I312" s="63">
        <v>7.8712467108740564E-4</v>
      </c>
      <c r="J312" s="63">
        <v>0</v>
      </c>
      <c r="K312" s="63">
        <v>5.7390794604638862E-2</v>
      </c>
      <c r="L312" s="63">
        <v>3.1171459857554947E-4</v>
      </c>
      <c r="M312" s="63">
        <v>0.22402071533636819</v>
      </c>
      <c r="N312" s="63">
        <v>4.884081628920673E-2</v>
      </c>
      <c r="O312" s="63">
        <v>7.8684700933683103E-3</v>
      </c>
      <c r="P312" s="63">
        <v>2.2335720680817313E-3</v>
      </c>
      <c r="Q312" s="63">
        <v>1.3622007985873956E-2</v>
      </c>
      <c r="R312" s="63">
        <v>5.2170903997298582E-2</v>
      </c>
      <c r="S312" s="63">
        <v>1.0988088475064633E-2</v>
      </c>
      <c r="T312" s="63">
        <v>8.7707185935063513E-4</v>
      </c>
      <c r="U312" s="63">
        <v>1.008298711876133E-3</v>
      </c>
      <c r="V312" s="63">
        <v>1.2581987621037069E-4</v>
      </c>
      <c r="W312" s="63">
        <v>0.50399754346592418</v>
      </c>
      <c r="X312" s="63">
        <v>4.6890199234617281E-3</v>
      </c>
      <c r="Y312" s="63">
        <v>5.6614938777044864E-3</v>
      </c>
      <c r="Z312" s="63">
        <v>6.7178080705592173E-4</v>
      </c>
      <c r="AA312" s="63">
        <v>5.085114774980113E-3</v>
      </c>
      <c r="AB312" s="63">
        <v>2.9904478823296885E-4</v>
      </c>
      <c r="AC312" s="63">
        <v>6.9428470107253798E-5</v>
      </c>
      <c r="AD312" s="63">
        <v>1.2164095828507376E-3</v>
      </c>
      <c r="AE312" s="63">
        <v>1</v>
      </c>
      <c r="AF312" s="63">
        <v>5.8331424228115704E-5</v>
      </c>
      <c r="AG312" s="63">
        <v>4.2376830178217859E-5</v>
      </c>
      <c r="AH312" s="63">
        <v>1.039858997535412E-2</v>
      </c>
    </row>
    <row r="313" spans="1:34" s="64" customFormat="1" ht="15" customHeight="1" x14ac:dyDescent="0.2">
      <c r="A313" s="65"/>
      <c r="B313" s="61" t="s">
        <v>80</v>
      </c>
      <c r="C313" s="65"/>
      <c r="D313" s="63">
        <f>SUM($E$313:$AH$313)</f>
        <v>2</v>
      </c>
      <c r="E313" s="63">
        <v>2.9472953243570136E-2</v>
      </c>
      <c r="F313" s="63">
        <v>1.9206272139604668E-3</v>
      </c>
      <c r="G313" s="63">
        <v>1.4360700986722175E-2</v>
      </c>
      <c r="H313" s="63">
        <v>1.8111860686683301E-3</v>
      </c>
      <c r="I313" s="63">
        <v>7.8712467108740564E-4</v>
      </c>
      <c r="J313" s="63">
        <v>0</v>
      </c>
      <c r="K313" s="63">
        <v>5.7390794604638862E-2</v>
      </c>
      <c r="L313" s="63">
        <v>3.1171459857554947E-4</v>
      </c>
      <c r="M313" s="63">
        <v>0.22402071533636819</v>
      </c>
      <c r="N313" s="63">
        <v>4.884081628920673E-2</v>
      </c>
      <c r="O313" s="63">
        <v>7.8684700933683103E-3</v>
      </c>
      <c r="P313" s="63">
        <v>2.2335720680817313E-3</v>
      </c>
      <c r="Q313" s="63">
        <v>1.3622007985873956E-2</v>
      </c>
      <c r="R313" s="63">
        <v>5.2170903997298582E-2</v>
      </c>
      <c r="S313" s="63">
        <v>1.0988088475064633E-2</v>
      </c>
      <c r="T313" s="63">
        <v>8.7707185935063513E-4</v>
      </c>
      <c r="U313" s="63">
        <v>1.008298711876133E-3</v>
      </c>
      <c r="V313" s="63">
        <v>1.2581987621037069E-4</v>
      </c>
      <c r="W313" s="63">
        <v>0.50399754346592418</v>
      </c>
      <c r="X313" s="63">
        <v>4.6890199234617281E-3</v>
      </c>
      <c r="Y313" s="63">
        <v>5.6614938777044864E-3</v>
      </c>
      <c r="Z313" s="63">
        <v>6.7178080705592173E-4</v>
      </c>
      <c r="AA313" s="63">
        <v>5.085114774980113E-3</v>
      </c>
      <c r="AB313" s="63">
        <v>2.9904478823296885E-4</v>
      </c>
      <c r="AC313" s="63">
        <v>6.9428470107253798E-5</v>
      </c>
      <c r="AD313" s="63">
        <v>1.2164095828507376E-3</v>
      </c>
      <c r="AE313" s="63">
        <v>1</v>
      </c>
      <c r="AF313" s="63">
        <v>5.8331424228115704E-5</v>
      </c>
      <c r="AG313" s="63">
        <v>4.2376830178217859E-5</v>
      </c>
      <c r="AH313" s="63">
        <v>1.039858997535412E-2</v>
      </c>
    </row>
    <row r="314" spans="1:34" s="64" customFormat="1" ht="15" customHeight="1" x14ac:dyDescent="0.2">
      <c r="A314" s="65"/>
      <c r="B314" s="65"/>
      <c r="C314" s="65"/>
      <c r="D314" s="63"/>
      <c r="E314" s="63"/>
      <c r="F314" s="63"/>
      <c r="G314" s="63"/>
      <c r="H314" s="63"/>
      <c r="I314" s="63"/>
      <c r="J314" s="63"/>
      <c r="K314" s="63"/>
      <c r="L314" s="63"/>
      <c r="M314" s="63"/>
      <c r="N314" s="63"/>
      <c r="O314" s="63"/>
      <c r="P314" s="63"/>
      <c r="Q314" s="63"/>
      <c r="R314" s="63"/>
      <c r="S314" s="63"/>
      <c r="T314" s="63"/>
      <c r="U314" s="63"/>
      <c r="V314" s="63"/>
      <c r="W314" s="63"/>
      <c r="X314" s="63"/>
      <c r="Y314" s="63"/>
      <c r="Z314" s="63"/>
      <c r="AA314" s="63"/>
      <c r="AB314" s="63"/>
      <c r="AC314" s="63"/>
      <c r="AD314" s="63"/>
      <c r="AE314" s="63"/>
      <c r="AF314" s="63"/>
      <c r="AG314" s="63"/>
      <c r="AH314" s="63"/>
    </row>
    <row r="315" spans="1:34" s="64" customFormat="1" ht="15" customHeight="1" x14ac:dyDescent="0.2">
      <c r="A315" s="65"/>
      <c r="B315" s="62" t="s">
        <v>71</v>
      </c>
      <c r="C315" s="62" t="s">
        <v>37</v>
      </c>
      <c r="D315" s="63"/>
      <c r="E315" s="63">
        <v>-0.99208775311981223</v>
      </c>
      <c r="F315" s="63">
        <v>-0.99208775311981223</v>
      </c>
      <c r="G315" s="63">
        <v>-0.99208775311981223</v>
      </c>
      <c r="H315" s="63">
        <v>-0.99208775311981223</v>
      </c>
      <c r="I315" s="63">
        <v>-0.99208775311981223</v>
      </c>
      <c r="J315" s="63">
        <v>-0.99208775311981223</v>
      </c>
      <c r="K315" s="63">
        <v>-0.99208775311981223</v>
      </c>
      <c r="L315" s="63">
        <v>-0.99208775311981223</v>
      </c>
      <c r="M315" s="63">
        <v>-0.99208775311981223</v>
      </c>
      <c r="N315" s="63">
        <v>-0.99208775311981223</v>
      </c>
      <c r="O315" s="63">
        <v>-0.99208775311981223</v>
      </c>
      <c r="P315" s="63">
        <v>-0.99208775311981223</v>
      </c>
      <c r="Q315" s="63">
        <v>-0.99208775311981223</v>
      </c>
      <c r="R315" s="63">
        <v>-0.99208775311981223</v>
      </c>
      <c r="S315" s="63">
        <v>-0.99208775311981223</v>
      </c>
      <c r="T315" s="63">
        <v>-0.99208775311981223</v>
      </c>
      <c r="U315" s="63">
        <v>-0.99208775311981223</v>
      </c>
      <c r="V315" s="63">
        <v>-0.99208775311981223</v>
      </c>
      <c r="W315" s="63">
        <v>-0.99208775311981223</v>
      </c>
      <c r="X315" s="63">
        <v>-0.99208775311981223</v>
      </c>
      <c r="Y315" s="63">
        <v>-0.99208775311981223</v>
      </c>
      <c r="Z315" s="63">
        <v>-0.99208775311981223</v>
      </c>
      <c r="AA315" s="63">
        <v>-0.99208775311981223</v>
      </c>
      <c r="AB315" s="63">
        <v>-0.99208775311981223</v>
      </c>
      <c r="AC315" s="63">
        <v>-0.99208775311981223</v>
      </c>
      <c r="AD315" s="63">
        <v>-0.99208775311981223</v>
      </c>
      <c r="AE315" s="63">
        <v>-7.9122468801878093E-3</v>
      </c>
      <c r="AF315" s="63">
        <v>-0.99208775311981223</v>
      </c>
      <c r="AG315" s="63">
        <v>-0.99208775311981223</v>
      </c>
      <c r="AH315" s="63">
        <v>-0.99208775311981223</v>
      </c>
    </row>
    <row r="316" spans="1:34" s="64" customFormat="1" ht="15" customHeight="1" x14ac:dyDescent="0.2">
      <c r="A316" s="65"/>
      <c r="B316" s="62" t="s">
        <v>80</v>
      </c>
      <c r="C316" s="62" t="s">
        <v>42</v>
      </c>
      <c r="D316" s="63"/>
      <c r="E316" s="63">
        <v>2.9472953243570136E-2</v>
      </c>
      <c r="F316" s="63">
        <v>1.9206272139604668E-3</v>
      </c>
      <c r="G316" s="63">
        <v>1.4360700986722175E-2</v>
      </c>
      <c r="H316" s="63">
        <v>1.8111860686683301E-3</v>
      </c>
      <c r="I316" s="63">
        <v>7.8712467108740564E-4</v>
      </c>
      <c r="J316" s="63">
        <v>0</v>
      </c>
      <c r="K316" s="63">
        <v>5.7390794604638862E-2</v>
      </c>
      <c r="L316" s="63">
        <v>3.1171459857554947E-4</v>
      </c>
      <c r="M316" s="63">
        <v>0.22402071533636819</v>
      </c>
      <c r="N316" s="63">
        <v>4.884081628920673E-2</v>
      </c>
      <c r="O316" s="63">
        <v>7.8684700933683103E-3</v>
      </c>
      <c r="P316" s="63">
        <v>2.2335720680817313E-3</v>
      </c>
      <c r="Q316" s="63">
        <v>1.3622007985873956E-2</v>
      </c>
      <c r="R316" s="63">
        <v>5.2170903997298582E-2</v>
      </c>
      <c r="S316" s="63">
        <v>1.0988088475064633E-2</v>
      </c>
      <c r="T316" s="63">
        <v>8.7707185935063513E-4</v>
      </c>
      <c r="U316" s="63">
        <v>1.008298711876133E-3</v>
      </c>
      <c r="V316" s="63">
        <v>1.2581987621037069E-4</v>
      </c>
      <c r="W316" s="63">
        <v>0.50399754346592418</v>
      </c>
      <c r="X316" s="63">
        <v>4.6890199234617281E-3</v>
      </c>
      <c r="Y316" s="63">
        <v>5.6614938777044864E-3</v>
      </c>
      <c r="Z316" s="63">
        <v>6.7178080705592173E-4</v>
      </c>
      <c r="AA316" s="63">
        <v>5.085114774980113E-3</v>
      </c>
      <c r="AB316" s="63">
        <v>2.9904478823296885E-4</v>
      </c>
      <c r="AC316" s="63">
        <v>6.9428470107253798E-5</v>
      </c>
      <c r="AD316" s="63">
        <v>1.2164095828507376E-3</v>
      </c>
      <c r="AE316" s="63">
        <v>1</v>
      </c>
      <c r="AF316" s="63">
        <v>5.8331424228115704E-5</v>
      </c>
      <c r="AG316" s="63">
        <v>4.2376830178217859E-5</v>
      </c>
      <c r="AH316" s="63">
        <v>1.039858997535412E-2</v>
      </c>
    </row>
    <row r="317" spans="1:34" s="64" customFormat="1" ht="15" customHeight="1" x14ac:dyDescent="0.2">
      <c r="A317" s="65"/>
      <c r="B317" s="61" t="s">
        <v>119</v>
      </c>
      <c r="C317" s="65"/>
      <c r="D317" s="63">
        <f>SUM($E$317:$AH$317)</f>
        <v>-1</v>
      </c>
      <c r="E317" s="63">
        <v>-2.9239755961218777E-2</v>
      </c>
      <c r="F317" s="63">
        <v>-1.9054307372788045E-3</v>
      </c>
      <c r="G317" s="63">
        <v>-1.4247075575142673E-2</v>
      </c>
      <c r="H317" s="63">
        <v>-1.7968555173470697E-3</v>
      </c>
      <c r="I317" s="63">
        <v>-7.808967463642755E-4</v>
      </c>
      <c r="J317" s="63">
        <v>0</v>
      </c>
      <c r="K317" s="63">
        <v>-5.693670446907681E-2</v>
      </c>
      <c r="L317" s="63">
        <v>-3.0924823571546107E-4</v>
      </c>
      <c r="M317" s="63">
        <v>-0.22224820813035059</v>
      </c>
      <c r="N317" s="63">
        <v>-4.845437569289663E-2</v>
      </c>
      <c r="O317" s="63">
        <v>-7.8062128154202061E-3</v>
      </c>
      <c r="P317" s="63">
        <v>-2.2158994944543771E-3</v>
      </c>
      <c r="Q317" s="63">
        <v>-1.3514227295685832E-2</v>
      </c>
      <c r="R317" s="63">
        <v>-5.1758114924909379E-2</v>
      </c>
      <c r="S317" s="63">
        <v>-1.0901148006308576E-2</v>
      </c>
      <c r="T317" s="63">
        <v>-8.7013225026778764E-4</v>
      </c>
      <c r="U317" s="63">
        <v>-1.0003208035387937E-3</v>
      </c>
      <c r="V317" s="63">
        <v>-1.2482435828735958E-4</v>
      </c>
      <c r="W317" s="63">
        <v>-0.50000979047501359</v>
      </c>
      <c r="X317" s="63">
        <v>-4.6519192402011801E-3</v>
      </c>
      <c r="Y317" s="63">
        <v>-5.6166987404334167E-3</v>
      </c>
      <c r="Z317" s="63">
        <v>-6.6646551146112354E-4</v>
      </c>
      <c r="AA317" s="63">
        <v>-5.0448800914663803E-3</v>
      </c>
      <c r="AB317" s="63">
        <v>-2.9667867204023616E-4</v>
      </c>
      <c r="AC317" s="63">
        <v>-6.8879134911251471E-5</v>
      </c>
      <c r="AD317" s="63">
        <v>-1.2067850499237964E-3</v>
      </c>
      <c r="AE317" s="63">
        <v>-7.9122468801878093E-3</v>
      </c>
      <c r="AF317" s="63">
        <v>-5.7869891598749886E-5</v>
      </c>
      <c r="AG317" s="63">
        <v>-4.204153423584801E-5</v>
      </c>
      <c r="AH317" s="63">
        <v>-1.0316313764263273E-2</v>
      </c>
    </row>
    <row r="318" spans="1:34" s="64" customFormat="1" ht="15" customHeight="1" x14ac:dyDescent="0.2">
      <c r="A318" s="65"/>
      <c r="B318" s="65"/>
      <c r="C318" s="65"/>
      <c r="D318" s="63"/>
      <c r="E318" s="63"/>
      <c r="F318" s="63"/>
      <c r="G318" s="63"/>
      <c r="H318" s="63"/>
      <c r="I318" s="63"/>
      <c r="J318" s="63"/>
      <c r="K318" s="63"/>
      <c r="L318" s="63"/>
      <c r="M318" s="63"/>
      <c r="N318" s="63"/>
      <c r="O318" s="63"/>
      <c r="P318" s="63"/>
      <c r="Q318" s="63"/>
      <c r="R318" s="63"/>
      <c r="S318" s="63"/>
      <c r="T318" s="63"/>
      <c r="U318" s="63"/>
      <c r="V318" s="63"/>
      <c r="W318" s="63"/>
      <c r="X318" s="63"/>
      <c r="Y318" s="63"/>
      <c r="Z318" s="63"/>
      <c r="AA318" s="63"/>
      <c r="AB318" s="63"/>
      <c r="AC318" s="63"/>
      <c r="AD318" s="63"/>
      <c r="AE318" s="63"/>
      <c r="AF318" s="63"/>
      <c r="AG318" s="63"/>
      <c r="AH318" s="63"/>
    </row>
    <row r="319" spans="1:34" s="64" customFormat="1" ht="15" customHeight="1" x14ac:dyDescent="0.2">
      <c r="A319" s="65"/>
      <c r="B319" s="62" t="s">
        <v>119</v>
      </c>
      <c r="C319" s="62" t="s">
        <v>37</v>
      </c>
      <c r="D319" s="63"/>
      <c r="E319" s="63">
        <v>-2.9239755961218777E-2</v>
      </c>
      <c r="F319" s="63">
        <v>-1.9054307372788045E-3</v>
      </c>
      <c r="G319" s="63">
        <v>-1.4247075575142673E-2</v>
      </c>
      <c r="H319" s="63">
        <v>-1.7968555173470697E-3</v>
      </c>
      <c r="I319" s="63">
        <v>-7.808967463642755E-4</v>
      </c>
      <c r="J319" s="63">
        <v>0</v>
      </c>
      <c r="K319" s="63">
        <v>-5.693670446907681E-2</v>
      </c>
      <c r="L319" s="63">
        <v>-3.0924823571546107E-4</v>
      </c>
      <c r="M319" s="63">
        <v>-0.22224820813035059</v>
      </c>
      <c r="N319" s="63">
        <v>-4.845437569289663E-2</v>
      </c>
      <c r="O319" s="63">
        <v>-7.8062128154202061E-3</v>
      </c>
      <c r="P319" s="63">
        <v>-2.2158994944543771E-3</v>
      </c>
      <c r="Q319" s="63">
        <v>-1.3514227295685832E-2</v>
      </c>
      <c r="R319" s="63">
        <v>-5.1758114924909379E-2</v>
      </c>
      <c r="S319" s="63">
        <v>-1.0901148006308576E-2</v>
      </c>
      <c r="T319" s="63">
        <v>-8.7013225026778764E-4</v>
      </c>
      <c r="U319" s="63">
        <v>-1.0003208035387937E-3</v>
      </c>
      <c r="V319" s="63">
        <v>-1.2482435828735958E-4</v>
      </c>
      <c r="W319" s="63">
        <v>-0.50000979047501359</v>
      </c>
      <c r="X319" s="63">
        <v>-4.6519192402011801E-3</v>
      </c>
      <c r="Y319" s="63">
        <v>-5.6166987404334167E-3</v>
      </c>
      <c r="Z319" s="63">
        <v>-6.6646551146112354E-4</v>
      </c>
      <c r="AA319" s="63">
        <v>-5.0448800914663803E-3</v>
      </c>
      <c r="AB319" s="63">
        <v>-2.9667867204023616E-4</v>
      </c>
      <c r="AC319" s="63">
        <v>-6.8879134911251471E-5</v>
      </c>
      <c r="AD319" s="63">
        <v>-1.2067850499237964E-3</v>
      </c>
      <c r="AE319" s="63">
        <v>-7.9122468801878093E-3</v>
      </c>
      <c r="AF319" s="63">
        <v>-5.7869891598749886E-5</v>
      </c>
      <c r="AG319" s="63">
        <v>-4.204153423584801E-5</v>
      </c>
      <c r="AH319" s="63">
        <v>-1.0316313764263273E-2</v>
      </c>
    </row>
    <row r="320" spans="1:34" s="64" customFormat="1" ht="15" customHeight="1" x14ac:dyDescent="0.2">
      <c r="A320" s="65"/>
      <c r="B320" s="62" t="s">
        <v>65</v>
      </c>
      <c r="C320" s="62" t="s">
        <v>42</v>
      </c>
      <c r="D320" s="63"/>
      <c r="E320" s="63">
        <v>1000</v>
      </c>
      <c r="F320" s="63">
        <v>1000</v>
      </c>
      <c r="G320" s="63">
        <v>1000</v>
      </c>
      <c r="H320" s="63">
        <v>1000</v>
      </c>
      <c r="I320" s="63">
        <v>1000</v>
      </c>
      <c r="J320" s="63">
        <v>1000</v>
      </c>
      <c r="K320" s="63">
        <v>1000</v>
      </c>
      <c r="L320" s="63">
        <v>1000</v>
      </c>
      <c r="M320" s="63">
        <v>1000</v>
      </c>
      <c r="N320" s="63">
        <v>1000</v>
      </c>
      <c r="O320" s="63">
        <v>1000</v>
      </c>
      <c r="P320" s="63">
        <v>1000</v>
      </c>
      <c r="Q320" s="63">
        <v>1000</v>
      </c>
      <c r="R320" s="63">
        <v>1000</v>
      </c>
      <c r="S320" s="63">
        <v>1000</v>
      </c>
      <c r="T320" s="63">
        <v>1000</v>
      </c>
      <c r="U320" s="63">
        <v>1000</v>
      </c>
      <c r="V320" s="63">
        <v>1000</v>
      </c>
      <c r="W320" s="63">
        <v>1000</v>
      </c>
      <c r="X320" s="63">
        <v>1000</v>
      </c>
      <c r="Y320" s="63">
        <v>1000</v>
      </c>
      <c r="Z320" s="63">
        <v>1000</v>
      </c>
      <c r="AA320" s="63">
        <v>1000</v>
      </c>
      <c r="AB320" s="63">
        <v>1000</v>
      </c>
      <c r="AC320" s="63">
        <v>1000</v>
      </c>
      <c r="AD320" s="63">
        <v>1000</v>
      </c>
      <c r="AE320" s="63">
        <v>1000</v>
      </c>
      <c r="AF320" s="63">
        <v>1000</v>
      </c>
      <c r="AG320" s="63">
        <v>1000</v>
      </c>
      <c r="AH320" s="63">
        <v>1000</v>
      </c>
    </row>
    <row r="321" spans="1:34" s="64" customFormat="1" ht="15" customHeight="1" x14ac:dyDescent="0.2">
      <c r="A321" s="65"/>
      <c r="B321" s="61" t="s">
        <v>120</v>
      </c>
      <c r="C321" s="65"/>
      <c r="D321" s="63">
        <f>SUM($E$321:$AH$321)</f>
        <v>-1000.0000000000001</v>
      </c>
      <c r="E321" s="63">
        <v>-29.239755961218776</v>
      </c>
      <c r="F321" s="63">
        <v>-1.9054307372788044</v>
      </c>
      <c r="G321" s="63">
        <v>-14.247075575142672</v>
      </c>
      <c r="H321" s="63">
        <v>-1.7968555173470697</v>
      </c>
      <c r="I321" s="63">
        <v>-0.78089674636427553</v>
      </c>
      <c r="J321" s="63">
        <v>0</v>
      </c>
      <c r="K321" s="63">
        <v>-56.936704469076808</v>
      </c>
      <c r="L321" s="63">
        <v>-0.30924823571546106</v>
      </c>
      <c r="M321" s="63">
        <v>-222.2482081303506</v>
      </c>
      <c r="N321" s="63">
        <v>-48.454375692896633</v>
      </c>
      <c r="O321" s="63">
        <v>-7.8062128154202064</v>
      </c>
      <c r="P321" s="63">
        <v>-2.2158994944543773</v>
      </c>
      <c r="Q321" s="63">
        <v>-13.514227295685831</v>
      </c>
      <c r="R321" s="63">
        <v>-51.758114924909378</v>
      </c>
      <c r="S321" s="63">
        <v>-10.901148006308576</v>
      </c>
      <c r="T321" s="63">
        <v>-0.87013225026778762</v>
      </c>
      <c r="U321" s="63">
        <v>-1.0003208035387938</v>
      </c>
      <c r="V321" s="63">
        <v>-0.12482435828735958</v>
      </c>
      <c r="W321" s="63">
        <v>-500.00979047501357</v>
      </c>
      <c r="X321" s="63">
        <v>-4.6519192402011802</v>
      </c>
      <c r="Y321" s="63">
        <v>-5.6166987404334163</v>
      </c>
      <c r="Z321" s="63">
        <v>-0.66646551146112354</v>
      </c>
      <c r="AA321" s="63">
        <v>-5.0448800914663803</v>
      </c>
      <c r="AB321" s="63">
        <v>-0.29667867204023618</v>
      </c>
      <c r="AC321" s="63">
        <v>-6.8879134911251472E-2</v>
      </c>
      <c r="AD321" s="63">
        <v>-1.2067850499237964</v>
      </c>
      <c r="AE321" s="63">
        <v>-7.9122468801878094</v>
      </c>
      <c r="AF321" s="63">
        <v>-5.7869891598749883E-2</v>
      </c>
      <c r="AG321" s="63">
        <v>-4.2041534235848013E-2</v>
      </c>
      <c r="AH321" s="63">
        <v>-10.316313764263272</v>
      </c>
    </row>
    <row r="322" spans="1:34" s="64" customFormat="1" ht="15" customHeight="1" x14ac:dyDescent="0.2">
      <c r="A322" s="65"/>
      <c r="B322" s="65"/>
      <c r="C322" s="65"/>
      <c r="D322" s="63"/>
      <c r="E322" s="63"/>
      <c r="F322" s="63"/>
      <c r="G322" s="63"/>
      <c r="H322" s="63"/>
      <c r="I322" s="63"/>
      <c r="J322" s="63"/>
      <c r="K322" s="63"/>
      <c r="L322" s="63"/>
      <c r="M322" s="63"/>
      <c r="N322" s="63"/>
      <c r="O322" s="63"/>
      <c r="P322" s="63"/>
      <c r="Q322" s="63"/>
      <c r="R322" s="63"/>
      <c r="S322" s="63"/>
      <c r="T322" s="63"/>
      <c r="U322" s="63"/>
      <c r="V322" s="63"/>
      <c r="W322" s="63"/>
      <c r="X322" s="63"/>
      <c r="Y322" s="63"/>
      <c r="Z322" s="63"/>
      <c r="AA322" s="63"/>
      <c r="AB322" s="63"/>
      <c r="AC322" s="63"/>
      <c r="AD322" s="63"/>
      <c r="AE322" s="63"/>
      <c r="AF322" s="63"/>
      <c r="AG322" s="63"/>
      <c r="AH322" s="63"/>
    </row>
    <row r="323" spans="1:34" s="64" customFormat="1" ht="15" customHeight="1" x14ac:dyDescent="0.2">
      <c r="A323" s="65"/>
      <c r="B323" s="62" t="s">
        <v>120</v>
      </c>
      <c r="C323" s="62" t="s">
        <v>37</v>
      </c>
      <c r="D323" s="63"/>
      <c r="E323" s="63">
        <v>-29.239755961218776</v>
      </c>
      <c r="F323" s="63">
        <v>-1.9054307372788044</v>
      </c>
      <c r="G323" s="63">
        <v>-14.247075575142672</v>
      </c>
      <c r="H323" s="63">
        <v>-1.7968555173470697</v>
      </c>
      <c r="I323" s="63">
        <v>-0.78089674636427553</v>
      </c>
      <c r="J323" s="63">
        <v>0</v>
      </c>
      <c r="K323" s="63">
        <v>-56.936704469076808</v>
      </c>
      <c r="L323" s="63">
        <v>-0.30924823571546106</v>
      </c>
      <c r="M323" s="63">
        <v>-222.2482081303506</v>
      </c>
      <c r="N323" s="63">
        <v>-48.454375692896633</v>
      </c>
      <c r="O323" s="63">
        <v>-7.8062128154202064</v>
      </c>
      <c r="P323" s="63">
        <v>-2.2158994944543773</v>
      </c>
      <c r="Q323" s="63">
        <v>-13.514227295685831</v>
      </c>
      <c r="R323" s="63">
        <v>-51.758114924909378</v>
      </c>
      <c r="S323" s="63">
        <v>-10.901148006308576</v>
      </c>
      <c r="T323" s="63">
        <v>-0.87013225026778762</v>
      </c>
      <c r="U323" s="63">
        <v>-1.0003208035387938</v>
      </c>
      <c r="V323" s="63">
        <v>-0.12482435828735958</v>
      </c>
      <c r="W323" s="63">
        <v>-500.00979047501357</v>
      </c>
      <c r="X323" s="63">
        <v>-4.6519192402011802</v>
      </c>
      <c r="Y323" s="63">
        <v>-5.6166987404334163</v>
      </c>
      <c r="Z323" s="63">
        <v>-0.66646551146112354</v>
      </c>
      <c r="AA323" s="63">
        <v>-5.0448800914663803</v>
      </c>
      <c r="AB323" s="63">
        <v>-0.29667867204023618</v>
      </c>
      <c r="AC323" s="63">
        <v>-6.8879134911251472E-2</v>
      </c>
      <c r="AD323" s="63">
        <v>-1.2067850499237964</v>
      </c>
      <c r="AE323" s="63">
        <v>-7.9122468801878094</v>
      </c>
      <c r="AF323" s="63">
        <v>-5.7869891598749883E-2</v>
      </c>
      <c r="AG323" s="63">
        <v>-4.2041534235848013E-2</v>
      </c>
      <c r="AH323" s="63">
        <v>-10.316313764263272</v>
      </c>
    </row>
    <row r="324" spans="1:34" s="64" customFormat="1" ht="15" customHeight="1" x14ac:dyDescent="0.2">
      <c r="A324" s="65"/>
      <c r="B324" s="62" t="s">
        <v>70</v>
      </c>
      <c r="C324" s="62" t="s">
        <v>42</v>
      </c>
      <c r="D324" s="63"/>
      <c r="E324" s="63">
        <v>-1</v>
      </c>
      <c r="F324" s="63">
        <v>-1</v>
      </c>
      <c r="G324" s="63">
        <v>-1</v>
      </c>
      <c r="H324" s="63">
        <v>-1</v>
      </c>
      <c r="I324" s="63">
        <v>-1</v>
      </c>
      <c r="J324" s="63">
        <v>-1</v>
      </c>
      <c r="K324" s="63">
        <v>-1</v>
      </c>
      <c r="L324" s="63">
        <v>-1</v>
      </c>
      <c r="M324" s="63">
        <v>-1</v>
      </c>
      <c r="N324" s="63">
        <v>-1</v>
      </c>
      <c r="O324" s="63">
        <v>-1</v>
      </c>
      <c r="P324" s="63">
        <v>-1</v>
      </c>
      <c r="Q324" s="63">
        <v>-1</v>
      </c>
      <c r="R324" s="63">
        <v>-1</v>
      </c>
      <c r="S324" s="63">
        <v>-1</v>
      </c>
      <c r="T324" s="63">
        <v>-1</v>
      </c>
      <c r="U324" s="63">
        <v>-1</v>
      </c>
      <c r="V324" s="63">
        <v>-1</v>
      </c>
      <c r="W324" s="63">
        <v>-1</v>
      </c>
      <c r="X324" s="63">
        <v>-1</v>
      </c>
      <c r="Y324" s="63">
        <v>-1</v>
      </c>
      <c r="Z324" s="63">
        <v>-1</v>
      </c>
      <c r="AA324" s="63">
        <v>-1</v>
      </c>
      <c r="AB324" s="63">
        <v>-1</v>
      </c>
      <c r="AC324" s="63">
        <v>-1</v>
      </c>
      <c r="AD324" s="63">
        <v>-1</v>
      </c>
      <c r="AE324" s="63">
        <v>-1</v>
      </c>
      <c r="AF324" s="63">
        <v>-1</v>
      </c>
      <c r="AG324" s="63">
        <v>-1</v>
      </c>
      <c r="AH324" s="63">
        <v>-1</v>
      </c>
    </row>
    <row r="325" spans="1:34" s="64" customFormat="1" ht="15" customHeight="1" x14ac:dyDescent="0.2">
      <c r="A325" s="65"/>
      <c r="B325" s="62" t="s">
        <v>65</v>
      </c>
      <c r="C325" s="62" t="s">
        <v>42</v>
      </c>
      <c r="D325" s="63"/>
      <c r="E325" s="63">
        <v>1000</v>
      </c>
      <c r="F325" s="63">
        <v>1000</v>
      </c>
      <c r="G325" s="63">
        <v>1000</v>
      </c>
      <c r="H325" s="63">
        <v>1000</v>
      </c>
      <c r="I325" s="63">
        <v>1000</v>
      </c>
      <c r="J325" s="63">
        <v>1000</v>
      </c>
      <c r="K325" s="63">
        <v>1000</v>
      </c>
      <c r="L325" s="63">
        <v>1000</v>
      </c>
      <c r="M325" s="63">
        <v>1000</v>
      </c>
      <c r="N325" s="63">
        <v>1000</v>
      </c>
      <c r="O325" s="63">
        <v>1000</v>
      </c>
      <c r="P325" s="63">
        <v>1000</v>
      </c>
      <c r="Q325" s="63">
        <v>1000</v>
      </c>
      <c r="R325" s="63">
        <v>1000</v>
      </c>
      <c r="S325" s="63">
        <v>1000</v>
      </c>
      <c r="T325" s="63">
        <v>1000</v>
      </c>
      <c r="U325" s="63">
        <v>1000</v>
      </c>
      <c r="V325" s="63">
        <v>1000</v>
      </c>
      <c r="W325" s="63">
        <v>1000</v>
      </c>
      <c r="X325" s="63">
        <v>1000</v>
      </c>
      <c r="Y325" s="63">
        <v>1000</v>
      </c>
      <c r="Z325" s="63">
        <v>1000</v>
      </c>
      <c r="AA325" s="63">
        <v>1000</v>
      </c>
      <c r="AB325" s="63">
        <v>1000</v>
      </c>
      <c r="AC325" s="63">
        <v>1000</v>
      </c>
      <c r="AD325" s="63">
        <v>1000</v>
      </c>
      <c r="AE325" s="63">
        <v>1000</v>
      </c>
      <c r="AF325" s="63">
        <v>1000</v>
      </c>
      <c r="AG325" s="63">
        <v>1000</v>
      </c>
      <c r="AH325" s="63">
        <v>1000</v>
      </c>
    </row>
    <row r="326" spans="1:34" s="64" customFormat="1" ht="15" customHeight="1" x14ac:dyDescent="0.2">
      <c r="A326" s="65"/>
      <c r="B326" s="61" t="s">
        <v>121</v>
      </c>
      <c r="C326" s="65"/>
      <c r="D326" s="63">
        <f>SUM($E$326:$AH$326)</f>
        <v>999999.99999999988</v>
      </c>
      <c r="E326" s="63">
        <v>29239.755961218776</v>
      </c>
      <c r="F326" s="63">
        <v>1905.4307372788044</v>
      </c>
      <c r="G326" s="63">
        <v>14247.075575142671</v>
      </c>
      <c r="H326" s="63">
        <v>1796.8555173470697</v>
      </c>
      <c r="I326" s="63">
        <v>780.89674636427549</v>
      </c>
      <c r="J326" s="63">
        <v>0</v>
      </c>
      <c r="K326" s="63">
        <v>56936.704469076809</v>
      </c>
      <c r="L326" s="63">
        <v>309.24823571546108</v>
      </c>
      <c r="M326" s="63">
        <v>222248.2081303506</v>
      </c>
      <c r="N326" s="63">
        <v>48454.375692896632</v>
      </c>
      <c r="O326" s="63">
        <v>7806.2128154202064</v>
      </c>
      <c r="P326" s="63">
        <v>2215.8994944543774</v>
      </c>
      <c r="Q326" s="63">
        <v>13514.227295685831</v>
      </c>
      <c r="R326" s="63">
        <v>51758.11492490938</v>
      </c>
      <c r="S326" s="63">
        <v>10901.148006308576</v>
      </c>
      <c r="T326" s="63">
        <v>870.13225026778764</v>
      </c>
      <c r="U326" s="63">
        <v>1000.3208035387938</v>
      </c>
      <c r="V326" s="63">
        <v>124.82435828735957</v>
      </c>
      <c r="W326" s="63">
        <v>500009.79047501355</v>
      </c>
      <c r="X326" s="63">
        <v>4651.9192402011804</v>
      </c>
      <c r="Y326" s="63">
        <v>5616.6987404334159</v>
      </c>
      <c r="Z326" s="63">
        <v>666.46551146112358</v>
      </c>
      <c r="AA326" s="63">
        <v>5044.8800914663807</v>
      </c>
      <c r="AB326" s="63">
        <v>296.67867204023617</v>
      </c>
      <c r="AC326" s="63">
        <v>68.879134911251469</v>
      </c>
      <c r="AD326" s="63">
        <v>1206.7850499237964</v>
      </c>
      <c r="AE326" s="63">
        <v>7912.2468801878094</v>
      </c>
      <c r="AF326" s="63">
        <v>57.869891598749881</v>
      </c>
      <c r="AG326" s="63">
        <v>42.041534235848012</v>
      </c>
      <c r="AH326" s="63">
        <v>10316.313764263272</v>
      </c>
    </row>
    <row r="327" spans="1:34" ht="15" customHeight="1" x14ac:dyDescent="0.2">
      <c r="D327" s="60">
        <f>SUM(E326:AD326)/D326</f>
        <v>0.98167152792971446</v>
      </c>
      <c r="E327" s="59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60"/>
      <c r="AF327" s="8"/>
      <c r="AG327" s="8"/>
      <c r="AH327" s="8"/>
    </row>
    <row r="328" spans="1:34" ht="15" customHeight="1" x14ac:dyDescent="0.2">
      <c r="D328" s="59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</row>
    <row r="329" spans="1:34" ht="15" customHeight="1" x14ac:dyDescent="0.2"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</row>
    <row r="330" spans="1:34" ht="15" customHeight="1" x14ac:dyDescent="0.2"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</row>
    <row r="331" spans="1:34" s="41" customFormat="1" ht="15" customHeight="1" x14ac:dyDescent="0.2">
      <c r="A331" s="38" t="s">
        <v>122</v>
      </c>
      <c r="B331" s="39" t="s">
        <v>97</v>
      </c>
      <c r="C331" s="39" t="s">
        <v>37</v>
      </c>
      <c r="D331" s="40"/>
      <c r="E331" s="40">
        <v>3027334.99</v>
      </c>
      <c r="F331" s="40">
        <v>195855.69</v>
      </c>
      <c r="G331" s="40">
        <v>1524964.33</v>
      </c>
      <c r="H331" s="40">
        <v>185202.23</v>
      </c>
      <c r="I331" s="40">
        <v>80886.06</v>
      </c>
      <c r="J331" s="40">
        <v>0</v>
      </c>
      <c r="K331" s="40">
        <v>5852408.5700000003</v>
      </c>
      <c r="L331" s="40">
        <v>31787</v>
      </c>
      <c r="M331" s="40">
        <v>22845592.870000001</v>
      </c>
      <c r="N331" s="40">
        <v>4984669.03</v>
      </c>
      <c r="O331" s="40">
        <v>807278.17</v>
      </c>
      <c r="P331" s="40">
        <v>237183.25</v>
      </c>
      <c r="Q331" s="40">
        <v>1389399.23</v>
      </c>
      <c r="R331" s="40">
        <v>5323765.6100000003</v>
      </c>
      <c r="S331" s="40">
        <v>1128166.22</v>
      </c>
      <c r="T331" s="40">
        <v>91381.33</v>
      </c>
      <c r="U331" s="40">
        <v>102820.95</v>
      </c>
      <c r="V331" s="40">
        <v>13109.06</v>
      </c>
      <c r="W331" s="40">
        <v>51394993.969999999</v>
      </c>
      <c r="X331" s="40">
        <v>478174.8</v>
      </c>
      <c r="Y331" s="40">
        <v>579103.36</v>
      </c>
      <c r="Z331" s="40">
        <v>69101.41</v>
      </c>
      <c r="AA331" s="40">
        <v>518553.01</v>
      </c>
      <c r="AB331" s="40">
        <v>30495</v>
      </c>
      <c r="AC331" s="40">
        <v>7233.69</v>
      </c>
      <c r="AD331" s="40">
        <v>129170.66</v>
      </c>
      <c r="AE331" s="40"/>
      <c r="AF331" s="40"/>
      <c r="AG331" s="40"/>
      <c r="AH331" s="40"/>
    </row>
    <row r="332" spans="1:34" s="41" customFormat="1" ht="15" customHeight="1" x14ac:dyDescent="0.2">
      <c r="A332" s="42"/>
      <c r="B332" s="39" t="s">
        <v>98</v>
      </c>
      <c r="C332" s="39" t="s">
        <v>37</v>
      </c>
      <c r="D332" s="40"/>
      <c r="E332" s="40">
        <v>0</v>
      </c>
      <c r="F332" s="40">
        <v>0</v>
      </c>
      <c r="G332" s="40">
        <v>0</v>
      </c>
      <c r="H332" s="40">
        <v>0</v>
      </c>
      <c r="I332" s="40">
        <v>0</v>
      </c>
      <c r="J332" s="40">
        <v>0</v>
      </c>
      <c r="K332" s="40">
        <v>0</v>
      </c>
      <c r="L332" s="40">
        <v>0</v>
      </c>
      <c r="M332" s="40">
        <v>0</v>
      </c>
      <c r="N332" s="40">
        <v>0</v>
      </c>
      <c r="O332" s="40">
        <v>0</v>
      </c>
      <c r="P332" s="40">
        <v>0</v>
      </c>
      <c r="Q332" s="40">
        <v>0</v>
      </c>
      <c r="R332" s="40">
        <v>0</v>
      </c>
      <c r="S332" s="40">
        <v>0</v>
      </c>
      <c r="T332" s="40">
        <v>0</v>
      </c>
      <c r="U332" s="40">
        <v>0</v>
      </c>
      <c r="V332" s="40">
        <v>0</v>
      </c>
      <c r="W332" s="40">
        <v>0</v>
      </c>
      <c r="X332" s="40">
        <v>0</v>
      </c>
      <c r="Y332" s="40">
        <v>0</v>
      </c>
      <c r="Z332" s="40">
        <v>0</v>
      </c>
      <c r="AA332" s="40">
        <v>0</v>
      </c>
      <c r="AB332" s="40">
        <v>0</v>
      </c>
      <c r="AC332" s="40">
        <v>0</v>
      </c>
      <c r="AD332" s="40">
        <v>0</v>
      </c>
      <c r="AE332" s="40"/>
      <c r="AF332" s="40"/>
      <c r="AG332" s="40"/>
      <c r="AH332" s="40"/>
    </row>
    <row r="333" spans="1:34" s="41" customFormat="1" ht="15" customHeight="1" x14ac:dyDescent="0.2">
      <c r="A333" s="42"/>
      <c r="B333" s="38" t="s">
        <v>123</v>
      </c>
      <c r="C333" s="42"/>
      <c r="D333" s="40">
        <f>SUM($E$333:$AH$333)</f>
        <v>101028630.48999999</v>
      </c>
      <c r="E333" s="40">
        <v>3027334.99</v>
      </c>
      <c r="F333" s="40">
        <v>195855.69</v>
      </c>
      <c r="G333" s="40">
        <v>1524964.33</v>
      </c>
      <c r="H333" s="40">
        <v>185202.23</v>
      </c>
      <c r="I333" s="40">
        <v>80886.06</v>
      </c>
      <c r="J333" s="40">
        <v>0</v>
      </c>
      <c r="K333" s="40">
        <v>5852408.5700000003</v>
      </c>
      <c r="L333" s="40">
        <v>31787</v>
      </c>
      <c r="M333" s="40">
        <v>22845592.870000001</v>
      </c>
      <c r="N333" s="40">
        <v>4984669.03</v>
      </c>
      <c r="O333" s="40">
        <v>807278.17</v>
      </c>
      <c r="P333" s="40">
        <v>237183.25</v>
      </c>
      <c r="Q333" s="40">
        <v>1389399.23</v>
      </c>
      <c r="R333" s="40">
        <v>5323765.6100000003</v>
      </c>
      <c r="S333" s="40">
        <v>1128166.22</v>
      </c>
      <c r="T333" s="40">
        <v>91381.33</v>
      </c>
      <c r="U333" s="40">
        <v>102820.95</v>
      </c>
      <c r="V333" s="40">
        <v>13109.06</v>
      </c>
      <c r="W333" s="40">
        <v>51394993.969999999</v>
      </c>
      <c r="X333" s="40">
        <v>478174.8</v>
      </c>
      <c r="Y333" s="40">
        <v>579103.36</v>
      </c>
      <c r="Z333" s="40">
        <v>69101.41</v>
      </c>
      <c r="AA333" s="40">
        <v>518553.01</v>
      </c>
      <c r="AB333" s="40">
        <v>30495</v>
      </c>
      <c r="AC333" s="40">
        <v>7233.69</v>
      </c>
      <c r="AD333" s="40">
        <v>129170.66</v>
      </c>
      <c r="AE333" s="40"/>
      <c r="AF333" s="40"/>
      <c r="AG333" s="40"/>
      <c r="AH333" s="40"/>
    </row>
    <row r="334" spans="1:34" ht="15" customHeight="1" x14ac:dyDescent="0.2"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8"/>
      <c r="AH334" s="8"/>
    </row>
    <row r="335" spans="1:34" ht="15" customHeight="1" x14ac:dyDescent="0.2"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</row>
    <row r="336" spans="1:34" ht="15" customHeight="1" x14ac:dyDescent="0.2"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  <c r="AG336" s="8"/>
      <c r="AH336" s="8"/>
    </row>
    <row r="337" spans="1:34" ht="15" customHeight="1" x14ac:dyDescent="0.2"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  <c r="AH337" s="8"/>
    </row>
    <row r="338" spans="1:34" s="41" customFormat="1" ht="15" customHeight="1" x14ac:dyDescent="0.2">
      <c r="A338" s="38" t="s">
        <v>124</v>
      </c>
      <c r="B338" s="39" t="s">
        <v>97</v>
      </c>
      <c r="C338" s="39" t="s">
        <v>37</v>
      </c>
      <c r="D338" s="40"/>
      <c r="E338" s="40">
        <v>3027334.99</v>
      </c>
      <c r="F338" s="40">
        <v>195855.69</v>
      </c>
      <c r="G338" s="40">
        <v>1524964.33</v>
      </c>
      <c r="H338" s="40">
        <v>185202.23</v>
      </c>
      <c r="I338" s="40">
        <v>80886.06</v>
      </c>
      <c r="J338" s="40">
        <v>0</v>
      </c>
      <c r="K338" s="40">
        <v>5852408.5700000003</v>
      </c>
      <c r="L338" s="40">
        <v>31787</v>
      </c>
      <c r="M338" s="40">
        <v>22845592.870000001</v>
      </c>
      <c r="N338" s="40">
        <v>4984669.03</v>
      </c>
      <c r="O338" s="40">
        <v>807278.17</v>
      </c>
      <c r="P338" s="40">
        <v>237183.25</v>
      </c>
      <c r="Q338" s="40">
        <v>1389399.23</v>
      </c>
      <c r="R338" s="40">
        <v>5323765.6100000003</v>
      </c>
      <c r="S338" s="40">
        <v>1128166.22</v>
      </c>
      <c r="T338" s="40">
        <v>91381.33</v>
      </c>
      <c r="U338" s="40">
        <v>102820.95</v>
      </c>
      <c r="V338" s="40">
        <v>13109.06</v>
      </c>
      <c r="W338" s="40">
        <v>51394993.969999999</v>
      </c>
      <c r="X338" s="40">
        <v>478174.8</v>
      </c>
      <c r="Y338" s="40">
        <v>579103.36</v>
      </c>
      <c r="Z338" s="40">
        <v>69101.41</v>
      </c>
      <c r="AA338" s="40">
        <v>518553.01</v>
      </c>
      <c r="AB338" s="40">
        <v>30495</v>
      </c>
      <c r="AC338" s="40">
        <v>7233.69</v>
      </c>
      <c r="AD338" s="40">
        <v>129170.66</v>
      </c>
      <c r="AE338" s="40"/>
      <c r="AF338" s="40"/>
      <c r="AG338" s="40"/>
      <c r="AH338" s="40"/>
    </row>
    <row r="339" spans="1:34" s="41" customFormat="1" ht="15" customHeight="1" x14ac:dyDescent="0.2">
      <c r="A339" s="42"/>
      <c r="B339" s="39" t="s">
        <v>98</v>
      </c>
      <c r="C339" s="39" t="s">
        <v>37</v>
      </c>
      <c r="D339" s="40"/>
      <c r="E339" s="40">
        <v>0</v>
      </c>
      <c r="F339" s="40">
        <v>0</v>
      </c>
      <c r="G339" s="40">
        <v>0</v>
      </c>
      <c r="H339" s="40">
        <v>0</v>
      </c>
      <c r="I339" s="40">
        <v>0</v>
      </c>
      <c r="J339" s="40">
        <v>0</v>
      </c>
      <c r="K339" s="40">
        <v>0</v>
      </c>
      <c r="L339" s="40">
        <v>0</v>
      </c>
      <c r="M339" s="40">
        <v>0</v>
      </c>
      <c r="N339" s="40">
        <v>0</v>
      </c>
      <c r="O339" s="40">
        <v>0</v>
      </c>
      <c r="P339" s="40">
        <v>0</v>
      </c>
      <c r="Q339" s="40">
        <v>0</v>
      </c>
      <c r="R339" s="40">
        <v>0</v>
      </c>
      <c r="S339" s="40">
        <v>0</v>
      </c>
      <c r="T339" s="40">
        <v>0</v>
      </c>
      <c r="U339" s="40">
        <v>0</v>
      </c>
      <c r="V339" s="40">
        <v>0</v>
      </c>
      <c r="W339" s="40">
        <v>0</v>
      </c>
      <c r="X339" s="40">
        <v>0</v>
      </c>
      <c r="Y339" s="40">
        <v>0</v>
      </c>
      <c r="Z339" s="40">
        <v>0</v>
      </c>
      <c r="AA339" s="40">
        <v>0</v>
      </c>
      <c r="AB339" s="40">
        <v>0</v>
      </c>
      <c r="AC339" s="40">
        <v>0</v>
      </c>
      <c r="AD339" s="40">
        <v>0</v>
      </c>
      <c r="AE339" s="40"/>
      <c r="AF339" s="40"/>
      <c r="AG339" s="40"/>
      <c r="AH339" s="40"/>
    </row>
    <row r="340" spans="1:34" s="41" customFormat="1" ht="15" customHeight="1" x14ac:dyDescent="0.2">
      <c r="A340" s="42"/>
      <c r="B340" s="39" t="s">
        <v>99</v>
      </c>
      <c r="C340" s="39" t="s">
        <v>42</v>
      </c>
      <c r="D340" s="40"/>
      <c r="E340" s="40">
        <v>0</v>
      </c>
      <c r="F340" s="40">
        <v>0</v>
      </c>
      <c r="G340" s="40">
        <v>1</v>
      </c>
      <c r="H340" s="40">
        <v>0</v>
      </c>
      <c r="I340" s="40">
        <v>0</v>
      </c>
      <c r="J340" s="40">
        <v>1</v>
      </c>
      <c r="K340" s="40">
        <v>0</v>
      </c>
      <c r="L340" s="40">
        <v>0</v>
      </c>
      <c r="M340" s="40">
        <v>0</v>
      </c>
      <c r="N340" s="40">
        <v>0</v>
      </c>
      <c r="O340" s="40">
        <v>0</v>
      </c>
      <c r="P340" s="40">
        <v>1</v>
      </c>
      <c r="Q340" s="40">
        <v>0</v>
      </c>
      <c r="R340" s="40">
        <v>0</v>
      </c>
      <c r="S340" s="40">
        <v>0</v>
      </c>
      <c r="T340" s="40">
        <v>0</v>
      </c>
      <c r="U340" s="40">
        <v>0</v>
      </c>
      <c r="V340" s="40">
        <v>0</v>
      </c>
      <c r="W340" s="40">
        <v>0</v>
      </c>
      <c r="X340" s="40">
        <v>0</v>
      </c>
      <c r="Y340" s="40">
        <v>0</v>
      </c>
      <c r="Z340" s="40">
        <v>0</v>
      </c>
      <c r="AA340" s="40">
        <v>0</v>
      </c>
      <c r="AB340" s="40">
        <v>0</v>
      </c>
      <c r="AC340" s="40">
        <v>0</v>
      </c>
      <c r="AD340" s="40">
        <v>1</v>
      </c>
      <c r="AE340" s="40"/>
      <c r="AF340" s="40"/>
      <c r="AG340" s="40"/>
      <c r="AH340" s="40"/>
    </row>
    <row r="341" spans="1:34" s="41" customFormat="1" ht="15" customHeight="1" x14ac:dyDescent="0.2">
      <c r="A341" s="42"/>
      <c r="B341" s="39" t="s">
        <v>100</v>
      </c>
      <c r="C341" s="39" t="s">
        <v>42</v>
      </c>
      <c r="D341" s="40"/>
      <c r="E341" s="40">
        <v>1.0243683970000002</v>
      </c>
      <c r="F341" s="40">
        <v>1.0243683970000002</v>
      </c>
      <c r="G341" s="40">
        <v>1.0243683970000002</v>
      </c>
      <c r="H341" s="40">
        <v>1.0243683970000002</v>
      </c>
      <c r="I341" s="40">
        <v>1.0243683970000002</v>
      </c>
      <c r="J341" s="40">
        <v>1.0243683970000002</v>
      </c>
      <c r="K341" s="40">
        <v>1.0243683970000002</v>
      </c>
      <c r="L341" s="40">
        <v>1.0243683970000002</v>
      </c>
      <c r="M341" s="40">
        <v>1.0243683970000002</v>
      </c>
      <c r="N341" s="40">
        <v>1.0243683970000002</v>
      </c>
      <c r="O341" s="40">
        <v>1.0243683970000002</v>
      </c>
      <c r="P341" s="40">
        <v>1.0243683970000002</v>
      </c>
      <c r="Q341" s="40">
        <v>1.0243683970000002</v>
      </c>
      <c r="R341" s="40">
        <v>1.0243683970000002</v>
      </c>
      <c r="S341" s="40">
        <v>1.0243683970000002</v>
      </c>
      <c r="T341" s="40">
        <v>1.0243683970000002</v>
      </c>
      <c r="U341" s="40">
        <v>1.0243683970000002</v>
      </c>
      <c r="V341" s="40">
        <v>1.0243683970000002</v>
      </c>
      <c r="W341" s="40">
        <v>1.0243683970000002</v>
      </c>
      <c r="X341" s="40">
        <v>1.0243683970000002</v>
      </c>
      <c r="Y341" s="40">
        <v>1.0243683970000002</v>
      </c>
      <c r="Z341" s="40">
        <v>1.0243683970000002</v>
      </c>
      <c r="AA341" s="40">
        <v>1.0243683970000002</v>
      </c>
      <c r="AB341" s="40">
        <v>1.0243683970000002</v>
      </c>
      <c r="AC341" s="40">
        <v>1.0243683970000002</v>
      </c>
      <c r="AD341" s="40">
        <v>1.0243683970000002</v>
      </c>
      <c r="AE341" s="40"/>
      <c r="AF341" s="40"/>
      <c r="AG341" s="40"/>
      <c r="AH341" s="40"/>
    </row>
    <row r="342" spans="1:34" s="41" customFormat="1" ht="15" customHeight="1" x14ac:dyDescent="0.2">
      <c r="A342" s="42"/>
      <c r="B342" s="38" t="s">
        <v>125</v>
      </c>
      <c r="C342" s="42"/>
      <c r="D342" s="40">
        <f>SUM($E$342:$AH$342)</f>
        <v>1937406.6337256616</v>
      </c>
      <c r="E342" s="40">
        <v>0</v>
      </c>
      <c r="F342" s="40">
        <v>0</v>
      </c>
      <c r="G342" s="40">
        <v>1562125.2662042794</v>
      </c>
      <c r="H342" s="40">
        <v>0</v>
      </c>
      <c r="I342" s="40">
        <v>0</v>
      </c>
      <c r="J342" s="40">
        <v>0</v>
      </c>
      <c r="K342" s="40">
        <v>0</v>
      </c>
      <c r="L342" s="40">
        <v>0</v>
      </c>
      <c r="M342" s="40">
        <v>0</v>
      </c>
      <c r="N342" s="40">
        <v>0</v>
      </c>
      <c r="O342" s="40">
        <v>0</v>
      </c>
      <c r="P342" s="40">
        <v>242963.0255977503</v>
      </c>
      <c r="Q342" s="40">
        <v>0</v>
      </c>
      <c r="R342" s="40">
        <v>0</v>
      </c>
      <c r="S342" s="40">
        <v>0</v>
      </c>
      <c r="T342" s="40">
        <v>0</v>
      </c>
      <c r="U342" s="40">
        <v>0</v>
      </c>
      <c r="V342" s="40">
        <v>0</v>
      </c>
      <c r="W342" s="40">
        <v>0</v>
      </c>
      <c r="X342" s="40">
        <v>0</v>
      </c>
      <c r="Y342" s="40">
        <v>0</v>
      </c>
      <c r="Z342" s="40">
        <v>0</v>
      </c>
      <c r="AA342" s="40">
        <v>0</v>
      </c>
      <c r="AB342" s="40">
        <v>0</v>
      </c>
      <c r="AC342" s="40">
        <v>0</v>
      </c>
      <c r="AD342" s="40">
        <v>132318.34192363205</v>
      </c>
      <c r="AE342" s="40"/>
      <c r="AF342" s="40"/>
      <c r="AG342" s="40"/>
      <c r="AH342" s="40"/>
    </row>
    <row r="343" spans="1:34" s="41" customFormat="1" ht="15" customHeight="1" x14ac:dyDescent="0.2">
      <c r="A343" s="42"/>
      <c r="B343" s="42"/>
      <c r="C343" s="42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  <c r="AE343" s="40"/>
      <c r="AF343" s="40"/>
      <c r="AG343" s="40"/>
      <c r="AH343" s="40"/>
    </row>
    <row r="344" spans="1:34" s="41" customFormat="1" ht="15" customHeight="1" x14ac:dyDescent="0.2">
      <c r="A344" s="42"/>
      <c r="B344" s="39" t="s">
        <v>97</v>
      </c>
      <c r="C344" s="39" t="s">
        <v>37</v>
      </c>
      <c r="D344" s="40"/>
      <c r="E344" s="40">
        <v>3027334.99</v>
      </c>
      <c r="F344" s="40">
        <v>195855.69</v>
      </c>
      <c r="G344" s="40">
        <v>1524964.33</v>
      </c>
      <c r="H344" s="40">
        <v>185202.23</v>
      </c>
      <c r="I344" s="40">
        <v>80886.06</v>
      </c>
      <c r="J344" s="40">
        <v>0</v>
      </c>
      <c r="K344" s="40">
        <v>5852408.5700000003</v>
      </c>
      <c r="L344" s="40">
        <v>31787</v>
      </c>
      <c r="M344" s="40">
        <v>22845592.870000001</v>
      </c>
      <c r="N344" s="40">
        <v>4984669.03</v>
      </c>
      <c r="O344" s="40">
        <v>807278.17</v>
      </c>
      <c r="P344" s="40">
        <v>237183.25</v>
      </c>
      <c r="Q344" s="40">
        <v>1389399.23</v>
      </c>
      <c r="R344" s="40">
        <v>5323765.6100000003</v>
      </c>
      <c r="S344" s="40">
        <v>1128166.22</v>
      </c>
      <c r="T344" s="40">
        <v>91381.33</v>
      </c>
      <c r="U344" s="40">
        <v>102820.95</v>
      </c>
      <c r="V344" s="40">
        <v>13109.06</v>
      </c>
      <c r="W344" s="40">
        <v>51394993.969999999</v>
      </c>
      <c r="X344" s="40">
        <v>478174.8</v>
      </c>
      <c r="Y344" s="40">
        <v>579103.36</v>
      </c>
      <c r="Z344" s="40">
        <v>69101.41</v>
      </c>
      <c r="AA344" s="40">
        <v>518553.01</v>
      </c>
      <c r="AB344" s="40">
        <v>30495</v>
      </c>
      <c r="AC344" s="40">
        <v>7233.69</v>
      </c>
      <c r="AD344" s="40">
        <v>129170.66</v>
      </c>
      <c r="AE344" s="40"/>
      <c r="AF344" s="40"/>
      <c r="AG344" s="40"/>
      <c r="AH344" s="40"/>
    </row>
    <row r="345" spans="1:34" s="41" customFormat="1" ht="15" customHeight="1" x14ac:dyDescent="0.2">
      <c r="A345" s="42"/>
      <c r="B345" s="39" t="s">
        <v>98</v>
      </c>
      <c r="C345" s="39" t="s">
        <v>37</v>
      </c>
      <c r="D345" s="40"/>
      <c r="E345" s="40">
        <v>0</v>
      </c>
      <c r="F345" s="40">
        <v>0</v>
      </c>
      <c r="G345" s="40">
        <v>0</v>
      </c>
      <c r="H345" s="40">
        <v>0</v>
      </c>
      <c r="I345" s="40">
        <v>0</v>
      </c>
      <c r="J345" s="40">
        <v>0</v>
      </c>
      <c r="K345" s="40">
        <v>0</v>
      </c>
      <c r="L345" s="40">
        <v>0</v>
      </c>
      <c r="M345" s="40">
        <v>0</v>
      </c>
      <c r="N345" s="40">
        <v>0</v>
      </c>
      <c r="O345" s="40">
        <v>0</v>
      </c>
      <c r="P345" s="40">
        <v>0</v>
      </c>
      <c r="Q345" s="40">
        <v>0</v>
      </c>
      <c r="R345" s="40">
        <v>0</v>
      </c>
      <c r="S345" s="40">
        <v>0</v>
      </c>
      <c r="T345" s="40">
        <v>0</v>
      </c>
      <c r="U345" s="40">
        <v>0</v>
      </c>
      <c r="V345" s="40">
        <v>0</v>
      </c>
      <c r="W345" s="40">
        <v>0</v>
      </c>
      <c r="X345" s="40">
        <v>0</v>
      </c>
      <c r="Y345" s="40">
        <v>0</v>
      </c>
      <c r="Z345" s="40">
        <v>0</v>
      </c>
      <c r="AA345" s="40">
        <v>0</v>
      </c>
      <c r="AB345" s="40">
        <v>0</v>
      </c>
      <c r="AC345" s="40">
        <v>0</v>
      </c>
      <c r="AD345" s="40">
        <v>0</v>
      </c>
      <c r="AE345" s="40"/>
      <c r="AF345" s="40"/>
      <c r="AG345" s="40"/>
      <c r="AH345" s="40"/>
    </row>
    <row r="346" spans="1:34" s="41" customFormat="1" ht="15" customHeight="1" x14ac:dyDescent="0.2">
      <c r="A346" s="42"/>
      <c r="B346" s="39" t="s">
        <v>102</v>
      </c>
      <c r="C346" s="39" t="s">
        <v>42</v>
      </c>
      <c r="D346" s="40"/>
      <c r="E346" s="40">
        <v>0.33942964122000002</v>
      </c>
      <c r="F346" s="40">
        <v>7.7480719999999993E-5</v>
      </c>
      <c r="G346" s="40">
        <v>0</v>
      </c>
      <c r="H346" s="40">
        <v>0.12882568626999999</v>
      </c>
      <c r="I346" s="40">
        <v>0.36021895539999998</v>
      </c>
      <c r="J346" s="40">
        <v>0</v>
      </c>
      <c r="K346" s="40">
        <v>0</v>
      </c>
      <c r="L346" s="40">
        <v>0</v>
      </c>
      <c r="M346" s="40">
        <v>2.3675017500000002E-3</v>
      </c>
      <c r="N346" s="40">
        <v>3.9095172769999999E-2</v>
      </c>
      <c r="O346" s="40">
        <v>0.28519900345999999</v>
      </c>
      <c r="P346" s="40">
        <v>0</v>
      </c>
      <c r="Q346" s="40">
        <v>1.0131033749999999E-2</v>
      </c>
      <c r="R346" s="40">
        <v>3.2291391259999996E-2</v>
      </c>
      <c r="S346" s="40">
        <v>0.31943268641</v>
      </c>
      <c r="T346" s="40">
        <v>1</v>
      </c>
      <c r="U346" s="40">
        <v>0</v>
      </c>
      <c r="V346" s="40">
        <v>1</v>
      </c>
      <c r="W346" s="40">
        <v>0</v>
      </c>
      <c r="X346" s="40">
        <v>1.3224665800000001E-3</v>
      </c>
      <c r="Y346" s="40">
        <v>0.14415422078000001</v>
      </c>
      <c r="Z346" s="40">
        <v>0.40633452836</v>
      </c>
      <c r="AA346" s="40">
        <v>0</v>
      </c>
      <c r="AB346" s="40">
        <v>0</v>
      </c>
      <c r="AC346" s="40">
        <v>1</v>
      </c>
      <c r="AD346" s="40">
        <v>0</v>
      </c>
      <c r="AE346" s="40"/>
      <c r="AF346" s="40"/>
      <c r="AG346" s="40"/>
      <c r="AH346" s="40"/>
    </row>
    <row r="347" spans="1:34" s="41" customFormat="1" ht="15" customHeight="1" x14ac:dyDescent="0.2">
      <c r="A347" s="42"/>
      <c r="B347" s="39" t="s">
        <v>103</v>
      </c>
      <c r="C347" s="39" t="s">
        <v>42</v>
      </c>
      <c r="D347" s="40"/>
      <c r="E347" s="40">
        <v>1.0440418789999999</v>
      </c>
      <c r="F347" s="40">
        <v>1.0440418789999999</v>
      </c>
      <c r="G347" s="40">
        <v>1.0440418789999999</v>
      </c>
      <c r="H347" s="40">
        <v>1.0440418789999999</v>
      </c>
      <c r="I347" s="40">
        <v>1.0440418789999999</v>
      </c>
      <c r="J347" s="40">
        <v>1.0440418789999999</v>
      </c>
      <c r="K347" s="40">
        <v>1.0440418789999999</v>
      </c>
      <c r="L347" s="40">
        <v>1.0440418789999999</v>
      </c>
      <c r="M347" s="40">
        <v>1.0440418789999999</v>
      </c>
      <c r="N347" s="40">
        <v>1.0440418789999999</v>
      </c>
      <c r="O347" s="40">
        <v>1.0440418789999999</v>
      </c>
      <c r="P347" s="40">
        <v>1.0440418789999999</v>
      </c>
      <c r="Q347" s="40">
        <v>1.0440418789999999</v>
      </c>
      <c r="R347" s="40">
        <v>1.0440418789999999</v>
      </c>
      <c r="S347" s="40">
        <v>1.0440418789999999</v>
      </c>
      <c r="T347" s="40">
        <v>1.0440418789999999</v>
      </c>
      <c r="U347" s="40">
        <v>1.0440418789999999</v>
      </c>
      <c r="V347" s="40">
        <v>1.0440418789999999</v>
      </c>
      <c r="W347" s="40">
        <v>1.0440418789999999</v>
      </c>
      <c r="X347" s="40">
        <v>1.0440418789999999</v>
      </c>
      <c r="Y347" s="40">
        <v>1.0440418789999999</v>
      </c>
      <c r="Z347" s="40">
        <v>1.0440418789999999</v>
      </c>
      <c r="AA347" s="40">
        <v>1.0440418789999999</v>
      </c>
      <c r="AB347" s="40">
        <v>1.0440418789999999</v>
      </c>
      <c r="AC347" s="40">
        <v>1.0440418789999999</v>
      </c>
      <c r="AD347" s="40">
        <v>1.0440418789999999</v>
      </c>
      <c r="AE347" s="40"/>
      <c r="AF347" s="40"/>
      <c r="AG347" s="40"/>
      <c r="AH347" s="40"/>
    </row>
    <row r="348" spans="1:34" s="41" customFormat="1" ht="15" customHeight="1" x14ac:dyDescent="0.2">
      <c r="A348" s="42"/>
      <c r="B348" s="38" t="s">
        <v>126</v>
      </c>
      <c r="C348" s="42"/>
      <c r="D348" s="40">
        <f>SUM($E$348:$AH$348)</f>
        <v>2432672.1359314113</v>
      </c>
      <c r="E348" s="40">
        <v>1072823.2210948288</v>
      </c>
      <c r="F348" s="40">
        <v>15.843377147392877</v>
      </c>
      <c r="G348" s="40">
        <v>0</v>
      </c>
      <c r="H348" s="40">
        <v>24909.59095400626</v>
      </c>
      <c r="I348" s="40">
        <v>30419.926704891001</v>
      </c>
      <c r="J348" s="40">
        <v>0</v>
      </c>
      <c r="K348" s="40">
        <v>0</v>
      </c>
      <c r="L348" s="40">
        <v>0</v>
      </c>
      <c r="M348" s="40">
        <v>56469.073376572545</v>
      </c>
      <c r="N348" s="40">
        <v>203459.22402681439</v>
      </c>
      <c r="O348" s="40">
        <v>240374.90850998569</v>
      </c>
      <c r="P348" s="40">
        <v>0</v>
      </c>
      <c r="Q348" s="40">
        <v>14695.986203892115</v>
      </c>
      <c r="R348" s="40">
        <v>179483.11690796094</v>
      </c>
      <c r="S348" s="40">
        <v>376244.67775980057</v>
      </c>
      <c r="T348" s="40">
        <v>95405.935478719068</v>
      </c>
      <c r="U348" s="40">
        <v>0</v>
      </c>
      <c r="V348" s="40">
        <v>13686.407634323738</v>
      </c>
      <c r="W348" s="40">
        <v>0</v>
      </c>
      <c r="X348" s="40">
        <v>660.22096389499154</v>
      </c>
      <c r="Y348" s="40">
        <v>87156.818197830798</v>
      </c>
      <c r="Z348" s="40">
        <v>29314.909441039257</v>
      </c>
      <c r="AA348" s="40">
        <v>0</v>
      </c>
      <c r="AB348" s="40">
        <v>0</v>
      </c>
      <c r="AC348" s="40">
        <v>7552.2752997035086</v>
      </c>
      <c r="AD348" s="40">
        <v>0</v>
      </c>
      <c r="AE348" s="40"/>
      <c r="AF348" s="40"/>
      <c r="AG348" s="40"/>
      <c r="AH348" s="40"/>
    </row>
    <row r="349" spans="1:34" s="41" customFormat="1" ht="15" customHeight="1" x14ac:dyDescent="0.2">
      <c r="A349" s="42"/>
      <c r="B349" s="42"/>
      <c r="C349" s="42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  <c r="AE349" s="40"/>
      <c r="AF349" s="40"/>
      <c r="AG349" s="40"/>
      <c r="AH349" s="40"/>
    </row>
    <row r="350" spans="1:34" s="41" customFormat="1" ht="15" customHeight="1" x14ac:dyDescent="0.2">
      <c r="A350" s="42"/>
      <c r="B350" s="39" t="s">
        <v>97</v>
      </c>
      <c r="C350" s="39" t="s">
        <v>37</v>
      </c>
      <c r="D350" s="40"/>
      <c r="E350" s="40">
        <v>3027334.99</v>
      </c>
      <c r="F350" s="40">
        <v>195855.69</v>
      </c>
      <c r="G350" s="40">
        <v>1524964.33</v>
      </c>
      <c r="H350" s="40">
        <v>185202.23</v>
      </c>
      <c r="I350" s="40">
        <v>80886.06</v>
      </c>
      <c r="J350" s="40">
        <v>0</v>
      </c>
      <c r="K350" s="40">
        <v>5852408.5700000003</v>
      </c>
      <c r="L350" s="40">
        <v>31787</v>
      </c>
      <c r="M350" s="40">
        <v>22845592.870000001</v>
      </c>
      <c r="N350" s="40">
        <v>4984669.03</v>
      </c>
      <c r="O350" s="40">
        <v>807278.17</v>
      </c>
      <c r="P350" s="40">
        <v>237183.25</v>
      </c>
      <c r="Q350" s="40">
        <v>1389399.23</v>
      </c>
      <c r="R350" s="40">
        <v>5323765.6100000003</v>
      </c>
      <c r="S350" s="40">
        <v>1128166.22</v>
      </c>
      <c r="T350" s="40">
        <v>91381.33</v>
      </c>
      <c r="U350" s="40">
        <v>102820.95</v>
      </c>
      <c r="V350" s="40">
        <v>13109.06</v>
      </c>
      <c r="W350" s="40">
        <v>51394993.969999999</v>
      </c>
      <c r="X350" s="40">
        <v>478174.8</v>
      </c>
      <c r="Y350" s="40">
        <v>579103.36</v>
      </c>
      <c r="Z350" s="40">
        <v>69101.41</v>
      </c>
      <c r="AA350" s="40">
        <v>518553.01</v>
      </c>
      <c r="AB350" s="40">
        <v>30495</v>
      </c>
      <c r="AC350" s="40">
        <v>7233.69</v>
      </c>
      <c r="AD350" s="40">
        <v>129170.66</v>
      </c>
      <c r="AE350" s="40"/>
      <c r="AF350" s="40"/>
      <c r="AG350" s="40"/>
      <c r="AH350" s="40"/>
    </row>
    <row r="351" spans="1:34" s="41" customFormat="1" ht="15" customHeight="1" x14ac:dyDescent="0.2">
      <c r="A351" s="42"/>
      <c r="B351" s="39" t="s">
        <v>98</v>
      </c>
      <c r="C351" s="39" t="s">
        <v>37</v>
      </c>
      <c r="D351" s="40"/>
      <c r="E351" s="40">
        <v>0</v>
      </c>
      <c r="F351" s="40">
        <v>0</v>
      </c>
      <c r="G351" s="40">
        <v>0</v>
      </c>
      <c r="H351" s="40">
        <v>0</v>
      </c>
      <c r="I351" s="40">
        <v>0</v>
      </c>
      <c r="J351" s="40">
        <v>0</v>
      </c>
      <c r="K351" s="40">
        <v>0</v>
      </c>
      <c r="L351" s="40">
        <v>0</v>
      </c>
      <c r="M351" s="40">
        <v>0</v>
      </c>
      <c r="N351" s="40">
        <v>0</v>
      </c>
      <c r="O351" s="40">
        <v>0</v>
      </c>
      <c r="P351" s="40">
        <v>0</v>
      </c>
      <c r="Q351" s="40">
        <v>0</v>
      </c>
      <c r="R351" s="40">
        <v>0</v>
      </c>
      <c r="S351" s="40">
        <v>0</v>
      </c>
      <c r="T351" s="40">
        <v>0</v>
      </c>
      <c r="U351" s="40">
        <v>0</v>
      </c>
      <c r="V351" s="40">
        <v>0</v>
      </c>
      <c r="W351" s="40">
        <v>0</v>
      </c>
      <c r="X351" s="40">
        <v>0</v>
      </c>
      <c r="Y351" s="40">
        <v>0</v>
      </c>
      <c r="Z351" s="40">
        <v>0</v>
      </c>
      <c r="AA351" s="40">
        <v>0</v>
      </c>
      <c r="AB351" s="40">
        <v>0</v>
      </c>
      <c r="AC351" s="40">
        <v>0</v>
      </c>
      <c r="AD351" s="40">
        <v>0</v>
      </c>
      <c r="AE351" s="40"/>
      <c r="AF351" s="40"/>
      <c r="AG351" s="40"/>
      <c r="AH351" s="40"/>
    </row>
    <row r="352" spans="1:34" s="41" customFormat="1" ht="15" customHeight="1" x14ac:dyDescent="0.2">
      <c r="A352" s="42"/>
      <c r="B352" s="39" t="s">
        <v>105</v>
      </c>
      <c r="C352" s="39" t="s">
        <v>42</v>
      </c>
      <c r="D352" s="40"/>
      <c r="E352" s="40">
        <v>0.66057035877000003</v>
      </c>
      <c r="F352" s="40">
        <v>0.99992251927000009</v>
      </c>
      <c r="G352" s="40">
        <v>0</v>
      </c>
      <c r="H352" s="40">
        <v>0.87117431371999998</v>
      </c>
      <c r="I352" s="40">
        <v>0.63978104458999996</v>
      </c>
      <c r="J352" s="40">
        <v>0</v>
      </c>
      <c r="K352" s="40">
        <v>1</v>
      </c>
      <c r="L352" s="40">
        <v>1</v>
      </c>
      <c r="M352" s="40">
        <v>0.99763249824</v>
      </c>
      <c r="N352" s="40">
        <v>0.96090482721999992</v>
      </c>
      <c r="O352" s="40">
        <v>0.71480099653000007</v>
      </c>
      <c r="P352" s="40">
        <v>0</v>
      </c>
      <c r="Q352" s="40">
        <v>0.98986896623999998</v>
      </c>
      <c r="R352" s="40">
        <v>0.96770860873000009</v>
      </c>
      <c r="S352" s="40">
        <v>0.68056731358</v>
      </c>
      <c r="T352" s="40">
        <v>0</v>
      </c>
      <c r="U352" s="40">
        <v>1</v>
      </c>
      <c r="V352" s="40">
        <v>0</v>
      </c>
      <c r="W352" s="40">
        <v>1</v>
      </c>
      <c r="X352" s="40">
        <v>0.9986775334100001</v>
      </c>
      <c r="Y352" s="40">
        <v>0.85584577920999994</v>
      </c>
      <c r="Z352" s="40">
        <v>0.59366547163000005</v>
      </c>
      <c r="AA352" s="40">
        <v>1</v>
      </c>
      <c r="AB352" s="40">
        <v>1</v>
      </c>
      <c r="AC352" s="40">
        <v>0</v>
      </c>
      <c r="AD352" s="40">
        <v>0</v>
      </c>
      <c r="AE352" s="40"/>
      <c r="AF352" s="40"/>
      <c r="AG352" s="40"/>
      <c r="AH352" s="40"/>
    </row>
    <row r="353" spans="1:34" s="41" customFormat="1" ht="15" customHeight="1" x14ac:dyDescent="0.2">
      <c r="A353" s="42"/>
      <c r="B353" s="39" t="s">
        <v>106</v>
      </c>
      <c r="C353" s="39" t="s">
        <v>42</v>
      </c>
      <c r="D353" s="40"/>
      <c r="E353" s="40">
        <v>1.0667135640000001</v>
      </c>
      <c r="F353" s="40">
        <v>1.0667135640000001</v>
      </c>
      <c r="G353" s="40">
        <v>1.0667135640000001</v>
      </c>
      <c r="H353" s="40">
        <v>1.0667135640000001</v>
      </c>
      <c r="I353" s="40">
        <v>1.0667135640000001</v>
      </c>
      <c r="J353" s="40">
        <v>1.0667135640000001</v>
      </c>
      <c r="K353" s="40">
        <v>1.0667135640000001</v>
      </c>
      <c r="L353" s="40">
        <v>1.0667135640000001</v>
      </c>
      <c r="M353" s="40">
        <v>1.0667135640000001</v>
      </c>
      <c r="N353" s="40">
        <v>1.0667135640000001</v>
      </c>
      <c r="O353" s="40">
        <v>1.0667135640000001</v>
      </c>
      <c r="P353" s="40">
        <v>1.0667135640000001</v>
      </c>
      <c r="Q353" s="40">
        <v>1.0667135640000001</v>
      </c>
      <c r="R353" s="40">
        <v>1.0667135640000001</v>
      </c>
      <c r="S353" s="40">
        <v>1.0667135640000001</v>
      </c>
      <c r="T353" s="40">
        <v>1.0667135640000001</v>
      </c>
      <c r="U353" s="40">
        <v>1.0667135640000001</v>
      </c>
      <c r="V353" s="40">
        <v>1.0667135640000001</v>
      </c>
      <c r="W353" s="40">
        <v>1.0667135640000001</v>
      </c>
      <c r="X353" s="40">
        <v>1.0667135640000001</v>
      </c>
      <c r="Y353" s="40">
        <v>1.0667135640000001</v>
      </c>
      <c r="Z353" s="40">
        <v>1.0667135640000001</v>
      </c>
      <c r="AA353" s="40">
        <v>1.0667135640000001</v>
      </c>
      <c r="AB353" s="40">
        <v>1.0667135640000001</v>
      </c>
      <c r="AC353" s="40">
        <v>1.0667135640000001</v>
      </c>
      <c r="AD353" s="40">
        <v>1.0667135640000001</v>
      </c>
      <c r="AE353" s="40"/>
      <c r="AF353" s="40"/>
      <c r="AG353" s="40"/>
      <c r="AH353" s="40"/>
    </row>
    <row r="354" spans="1:34" s="41" customFormat="1" ht="15" customHeight="1" x14ac:dyDescent="0.2">
      <c r="A354" s="42"/>
      <c r="B354" s="38" t="s">
        <v>127</v>
      </c>
      <c r="C354" s="42"/>
      <c r="D354" s="40">
        <f>SUM($E$354:$AH$354)</f>
        <v>103265617.32841814</v>
      </c>
      <c r="E354" s="40">
        <v>2133179.3949339446</v>
      </c>
      <c r="F354" s="40">
        <v>208905.73368661862</v>
      </c>
      <c r="G354" s="40">
        <v>0</v>
      </c>
      <c r="H354" s="40">
        <v>172107.2205707203</v>
      </c>
      <c r="I354" s="40">
        <v>55201.752730899701</v>
      </c>
      <c r="J354" s="40">
        <v>0</v>
      </c>
      <c r="K354" s="40">
        <v>6242843.6036888445</v>
      </c>
      <c r="L354" s="40">
        <v>33907.624058868001</v>
      </c>
      <c r="M354" s="40">
        <v>24312008.475432333</v>
      </c>
      <c r="N354" s="40">
        <v>5109336.6637194557</v>
      </c>
      <c r="O354" s="40">
        <v>615539.851541635</v>
      </c>
      <c r="P354" s="40">
        <v>0</v>
      </c>
      <c r="Q354" s="40">
        <v>1467075.8904506585</v>
      </c>
      <c r="R354" s="40">
        <v>5495552.3406403922</v>
      </c>
      <c r="S354" s="40">
        <v>819015.26463834336</v>
      </c>
      <c r="T354" s="40">
        <v>0</v>
      </c>
      <c r="U354" s="40">
        <v>109680.50202836581</v>
      </c>
      <c r="V354" s="40">
        <v>0</v>
      </c>
      <c r="W354" s="40">
        <v>54823737.18949721</v>
      </c>
      <c r="X354" s="40">
        <v>509400.98725618608</v>
      </c>
      <c r="Y354" s="40">
        <v>528687.95421265927</v>
      </c>
      <c r="Z354" s="40">
        <v>43759.919776798524</v>
      </c>
      <c r="AA354" s="40">
        <v>553147.52942002763</v>
      </c>
      <c r="AB354" s="40">
        <v>32529.430134180002</v>
      </c>
      <c r="AC354" s="40">
        <v>0</v>
      </c>
      <c r="AD354" s="40">
        <v>0</v>
      </c>
      <c r="AE354" s="40"/>
      <c r="AF354" s="40"/>
      <c r="AG354" s="40"/>
      <c r="AH354" s="40"/>
    </row>
    <row r="355" spans="1:34" s="41" customFormat="1" ht="15" customHeight="1" x14ac:dyDescent="0.2">
      <c r="A355" s="42"/>
      <c r="B355" s="42"/>
      <c r="C355" s="42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  <c r="AE355" s="40"/>
      <c r="AF355" s="40"/>
      <c r="AG355" s="40"/>
      <c r="AH355" s="40"/>
    </row>
    <row r="356" spans="1:34" s="41" customFormat="1" ht="15" customHeight="1" x14ac:dyDescent="0.2">
      <c r="A356" s="42"/>
      <c r="B356" s="39" t="s">
        <v>125</v>
      </c>
      <c r="C356" s="39" t="s">
        <v>37</v>
      </c>
      <c r="D356" s="40"/>
      <c r="E356" s="40">
        <v>0</v>
      </c>
      <c r="F356" s="40">
        <v>0</v>
      </c>
      <c r="G356" s="40">
        <v>1562125.2662042794</v>
      </c>
      <c r="H356" s="40">
        <v>0</v>
      </c>
      <c r="I356" s="40">
        <v>0</v>
      </c>
      <c r="J356" s="40">
        <v>0</v>
      </c>
      <c r="K356" s="40">
        <v>0</v>
      </c>
      <c r="L356" s="40">
        <v>0</v>
      </c>
      <c r="M356" s="40">
        <v>0</v>
      </c>
      <c r="N356" s="40">
        <v>0</v>
      </c>
      <c r="O356" s="40">
        <v>0</v>
      </c>
      <c r="P356" s="40">
        <v>242963.0255977503</v>
      </c>
      <c r="Q356" s="40">
        <v>0</v>
      </c>
      <c r="R356" s="40">
        <v>0</v>
      </c>
      <c r="S356" s="40">
        <v>0</v>
      </c>
      <c r="T356" s="40">
        <v>0</v>
      </c>
      <c r="U356" s="40">
        <v>0</v>
      </c>
      <c r="V356" s="40">
        <v>0</v>
      </c>
      <c r="W356" s="40">
        <v>0</v>
      </c>
      <c r="X356" s="40">
        <v>0</v>
      </c>
      <c r="Y356" s="40">
        <v>0</v>
      </c>
      <c r="Z356" s="40">
        <v>0</v>
      </c>
      <c r="AA356" s="40">
        <v>0</v>
      </c>
      <c r="AB356" s="40">
        <v>0</v>
      </c>
      <c r="AC356" s="40">
        <v>0</v>
      </c>
      <c r="AD356" s="40">
        <v>132318.34192363205</v>
      </c>
      <c r="AE356" s="40"/>
      <c r="AF356" s="40"/>
      <c r="AG356" s="40"/>
      <c r="AH356" s="40"/>
    </row>
    <row r="357" spans="1:34" s="41" customFormat="1" ht="15" customHeight="1" x14ac:dyDescent="0.2">
      <c r="A357" s="42"/>
      <c r="B357" s="39" t="s">
        <v>126</v>
      </c>
      <c r="C357" s="39" t="s">
        <v>37</v>
      </c>
      <c r="D357" s="40"/>
      <c r="E357" s="40">
        <v>1072823.2210948288</v>
      </c>
      <c r="F357" s="40">
        <v>15.843377147392877</v>
      </c>
      <c r="G357" s="40">
        <v>0</v>
      </c>
      <c r="H357" s="40">
        <v>24909.59095400626</v>
      </c>
      <c r="I357" s="40">
        <v>30419.926704891001</v>
      </c>
      <c r="J357" s="40">
        <v>0</v>
      </c>
      <c r="K357" s="40">
        <v>0</v>
      </c>
      <c r="L357" s="40">
        <v>0</v>
      </c>
      <c r="M357" s="40">
        <v>56469.073376572545</v>
      </c>
      <c r="N357" s="40">
        <v>203459.22402681439</v>
      </c>
      <c r="O357" s="40">
        <v>240374.90850998569</v>
      </c>
      <c r="P357" s="40">
        <v>0</v>
      </c>
      <c r="Q357" s="40">
        <v>14695.986203892115</v>
      </c>
      <c r="R357" s="40">
        <v>179483.11690796094</v>
      </c>
      <c r="S357" s="40">
        <v>376244.67775980057</v>
      </c>
      <c r="T357" s="40">
        <v>95405.935478719068</v>
      </c>
      <c r="U357" s="40">
        <v>0</v>
      </c>
      <c r="V357" s="40">
        <v>13686.407634323738</v>
      </c>
      <c r="W357" s="40">
        <v>0</v>
      </c>
      <c r="X357" s="40">
        <v>660.22096389499154</v>
      </c>
      <c r="Y357" s="40">
        <v>87156.818197830798</v>
      </c>
      <c r="Z357" s="40">
        <v>29314.909441039257</v>
      </c>
      <c r="AA357" s="40">
        <v>0</v>
      </c>
      <c r="AB357" s="40">
        <v>0</v>
      </c>
      <c r="AC357" s="40">
        <v>7552.2752997035086</v>
      </c>
      <c r="AD357" s="40">
        <v>0</v>
      </c>
      <c r="AE357" s="40"/>
      <c r="AF357" s="40"/>
      <c r="AG357" s="40"/>
      <c r="AH357" s="40"/>
    </row>
    <row r="358" spans="1:34" s="41" customFormat="1" ht="15" customHeight="1" x14ac:dyDescent="0.2">
      <c r="A358" s="42"/>
      <c r="B358" s="39" t="s">
        <v>127</v>
      </c>
      <c r="C358" s="39" t="s">
        <v>37</v>
      </c>
      <c r="D358" s="40"/>
      <c r="E358" s="40">
        <v>2133179.3949339446</v>
      </c>
      <c r="F358" s="40">
        <v>208905.73368661862</v>
      </c>
      <c r="G358" s="40">
        <v>0</v>
      </c>
      <c r="H358" s="40">
        <v>172107.2205707203</v>
      </c>
      <c r="I358" s="40">
        <v>55201.752730899701</v>
      </c>
      <c r="J358" s="40">
        <v>0</v>
      </c>
      <c r="K358" s="40">
        <v>6242843.6036888445</v>
      </c>
      <c r="L358" s="40">
        <v>33907.624058868001</v>
      </c>
      <c r="M358" s="40">
        <v>24312008.475432333</v>
      </c>
      <c r="N358" s="40">
        <v>5109336.6637194557</v>
      </c>
      <c r="O358" s="40">
        <v>615539.851541635</v>
      </c>
      <c r="P358" s="40">
        <v>0</v>
      </c>
      <c r="Q358" s="40">
        <v>1467075.8904506585</v>
      </c>
      <c r="R358" s="40">
        <v>5495552.3406403922</v>
      </c>
      <c r="S358" s="40">
        <v>819015.26463834336</v>
      </c>
      <c r="T358" s="40">
        <v>0</v>
      </c>
      <c r="U358" s="40">
        <v>109680.50202836581</v>
      </c>
      <c r="V358" s="40">
        <v>0</v>
      </c>
      <c r="W358" s="40">
        <v>54823737.18949721</v>
      </c>
      <c r="X358" s="40">
        <v>509400.98725618608</v>
      </c>
      <c r="Y358" s="40">
        <v>528687.95421265927</v>
      </c>
      <c r="Z358" s="40">
        <v>43759.919776798524</v>
      </c>
      <c r="AA358" s="40">
        <v>553147.52942002763</v>
      </c>
      <c r="AB358" s="40">
        <v>32529.430134180002</v>
      </c>
      <c r="AC358" s="40">
        <v>0</v>
      </c>
      <c r="AD358" s="40">
        <v>0</v>
      </c>
      <c r="AE358" s="40"/>
      <c r="AF358" s="40"/>
      <c r="AG358" s="40"/>
      <c r="AH358" s="40"/>
    </row>
    <row r="359" spans="1:34" s="41" customFormat="1" ht="15" customHeight="1" x14ac:dyDescent="0.2">
      <c r="A359" s="42"/>
      <c r="B359" s="38" t="s">
        <v>128</v>
      </c>
      <c r="C359" s="42"/>
      <c r="D359" s="40">
        <f>SUM($E$359:$AH$359)</f>
        <v>107635696.09807523</v>
      </c>
      <c r="E359" s="40">
        <v>3206002.6160287736</v>
      </c>
      <c r="F359" s="40">
        <v>208921.57706376602</v>
      </c>
      <c r="G359" s="40">
        <v>1562125.2662042794</v>
      </c>
      <c r="H359" s="40">
        <v>197016.81152472657</v>
      </c>
      <c r="I359" s="40">
        <v>85621.679435790706</v>
      </c>
      <c r="J359" s="40">
        <v>0</v>
      </c>
      <c r="K359" s="40">
        <v>6242843.6036888445</v>
      </c>
      <c r="L359" s="40">
        <v>33907.624058868001</v>
      </c>
      <c r="M359" s="40">
        <v>24368477.548808906</v>
      </c>
      <c r="N359" s="40">
        <v>5312795.8877462698</v>
      </c>
      <c r="O359" s="40">
        <v>855914.76005162066</v>
      </c>
      <c r="P359" s="40">
        <v>242963.0255977503</v>
      </c>
      <c r="Q359" s="40">
        <v>1481771.8766545507</v>
      </c>
      <c r="R359" s="40">
        <v>5675035.4575483529</v>
      </c>
      <c r="S359" s="40">
        <v>1195259.9423981439</v>
      </c>
      <c r="T359" s="40">
        <v>95405.935478719068</v>
      </c>
      <c r="U359" s="40">
        <v>109680.50202836581</v>
      </c>
      <c r="V359" s="40">
        <v>13686.407634323738</v>
      </c>
      <c r="W359" s="40">
        <v>54823737.18949721</v>
      </c>
      <c r="X359" s="40">
        <v>510061.20822008105</v>
      </c>
      <c r="Y359" s="40">
        <v>615844.77241049008</v>
      </c>
      <c r="Z359" s="40">
        <v>73074.829217837774</v>
      </c>
      <c r="AA359" s="40">
        <v>553147.52942002763</v>
      </c>
      <c r="AB359" s="40">
        <v>32529.430134180002</v>
      </c>
      <c r="AC359" s="40">
        <v>7552.2752997035086</v>
      </c>
      <c r="AD359" s="40">
        <v>132318.34192363205</v>
      </c>
      <c r="AE359" s="40"/>
      <c r="AF359" s="40"/>
      <c r="AG359" s="40"/>
      <c r="AH359" s="40"/>
    </row>
    <row r="360" spans="1:34" ht="15" customHeight="1" x14ac:dyDescent="0.2"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</row>
    <row r="361" spans="1:34" ht="15" customHeight="1" x14ac:dyDescent="0.2"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8"/>
      <c r="AH361" s="8"/>
    </row>
    <row r="362" spans="1:34" ht="15" customHeight="1" x14ac:dyDescent="0.2"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8"/>
      <c r="AH362" s="8"/>
    </row>
    <row r="363" spans="1:34" ht="15" customHeight="1" x14ac:dyDescent="0.2"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  <c r="AG363" s="8"/>
      <c r="AH363" s="8"/>
    </row>
    <row r="364" spans="1:34" s="41" customFormat="1" ht="15" customHeight="1" x14ac:dyDescent="0.2">
      <c r="A364" s="38" t="s">
        <v>131</v>
      </c>
      <c r="B364" s="39" t="s">
        <v>129</v>
      </c>
      <c r="C364" s="39" t="s">
        <v>37</v>
      </c>
      <c r="D364" s="40"/>
      <c r="E364" s="40">
        <v>348</v>
      </c>
      <c r="F364" s="40">
        <v>109</v>
      </c>
      <c r="G364" s="40">
        <v>18</v>
      </c>
      <c r="H364" s="40">
        <v>55.33</v>
      </c>
      <c r="I364" s="40">
        <v>5</v>
      </c>
      <c r="J364" s="40">
        <v>0</v>
      </c>
      <c r="K364" s="40">
        <v>411750.58</v>
      </c>
      <c r="L364" s="40">
        <v>4973.17</v>
      </c>
      <c r="M364" s="40">
        <v>102958.33</v>
      </c>
      <c r="N364" s="40">
        <v>1764.25</v>
      </c>
      <c r="O364" s="40">
        <v>69.33</v>
      </c>
      <c r="P364" s="40">
        <v>7</v>
      </c>
      <c r="Q364" s="40">
        <v>984.25</v>
      </c>
      <c r="R364" s="40">
        <v>1217.42</v>
      </c>
      <c r="S364" s="40">
        <v>58.5</v>
      </c>
      <c r="T364" s="40">
        <v>23</v>
      </c>
      <c r="U364" s="40"/>
      <c r="V364" s="40">
        <v>192.67</v>
      </c>
      <c r="W364" s="40">
        <v>4007113.83</v>
      </c>
      <c r="X364" s="40">
        <v>1273.33</v>
      </c>
      <c r="Y364" s="40">
        <v>196.58</v>
      </c>
      <c r="Z364" s="40">
        <v>9</v>
      </c>
      <c r="AA364" s="40"/>
      <c r="AB364" s="40"/>
      <c r="AC364" s="40">
        <v>4</v>
      </c>
      <c r="AD364" s="40">
        <v>13</v>
      </c>
      <c r="AE364" s="40"/>
      <c r="AF364" s="40"/>
      <c r="AG364" s="40"/>
      <c r="AH364" s="40"/>
    </row>
    <row r="365" spans="1:34" s="41" customFormat="1" ht="15" customHeight="1" x14ac:dyDescent="0.2">
      <c r="A365" s="42"/>
      <c r="B365" s="39" t="s">
        <v>130</v>
      </c>
      <c r="C365" s="39" t="s">
        <v>37</v>
      </c>
      <c r="D365" s="40"/>
      <c r="E365" s="40">
        <v>0</v>
      </c>
      <c r="F365" s="40">
        <v>0</v>
      </c>
      <c r="G365" s="40">
        <v>0</v>
      </c>
      <c r="H365" s="40">
        <v>0</v>
      </c>
      <c r="I365" s="40">
        <v>0</v>
      </c>
      <c r="J365" s="40">
        <v>0</v>
      </c>
      <c r="K365" s="40">
        <v>0</v>
      </c>
      <c r="L365" s="40">
        <v>0</v>
      </c>
      <c r="M365" s="40">
        <v>0</v>
      </c>
      <c r="N365" s="40">
        <v>0</v>
      </c>
      <c r="O365" s="40">
        <v>0</v>
      </c>
      <c r="P365" s="40">
        <v>0</v>
      </c>
      <c r="Q365" s="40">
        <v>0</v>
      </c>
      <c r="R365" s="40">
        <v>0</v>
      </c>
      <c r="S365" s="40">
        <v>0</v>
      </c>
      <c r="T365" s="40">
        <v>0</v>
      </c>
      <c r="U365" s="40"/>
      <c r="V365" s="40">
        <v>0</v>
      </c>
      <c r="W365" s="40">
        <v>0</v>
      </c>
      <c r="X365" s="40">
        <v>0</v>
      </c>
      <c r="Y365" s="40">
        <v>0</v>
      </c>
      <c r="Z365" s="40">
        <v>0</v>
      </c>
      <c r="AA365" s="40"/>
      <c r="AB365" s="40"/>
      <c r="AC365" s="40">
        <v>0</v>
      </c>
      <c r="AD365" s="40">
        <v>0</v>
      </c>
      <c r="AE365" s="40"/>
      <c r="AF365" s="40"/>
      <c r="AG365" s="40"/>
      <c r="AH365" s="40"/>
    </row>
    <row r="366" spans="1:34" s="41" customFormat="1" ht="15" customHeight="1" x14ac:dyDescent="0.2">
      <c r="A366" s="42"/>
      <c r="B366" s="39" t="s">
        <v>132</v>
      </c>
      <c r="C366" s="39" t="s">
        <v>42</v>
      </c>
      <c r="D366" s="40"/>
      <c r="E366" s="40">
        <v>0.79940959409000001</v>
      </c>
      <c r="F366" s="40">
        <v>0.99732977303000003</v>
      </c>
      <c r="G366" s="40">
        <v>0</v>
      </c>
      <c r="H366" s="40">
        <v>0.84848484847999994</v>
      </c>
      <c r="I366" s="40">
        <v>0.55555555555000002</v>
      </c>
      <c r="J366" s="40">
        <v>0</v>
      </c>
      <c r="K366" s="40">
        <v>1</v>
      </c>
      <c r="L366" s="40">
        <v>1</v>
      </c>
      <c r="M366" s="40">
        <v>0.99907795145</v>
      </c>
      <c r="N366" s="40">
        <v>0.96648599129000012</v>
      </c>
      <c r="O366" s="40">
        <v>0.74747474746999998</v>
      </c>
      <c r="P366" s="40">
        <v>0</v>
      </c>
      <c r="Q366" s="40">
        <v>0.9921748951199999</v>
      </c>
      <c r="R366" s="40">
        <v>0.97652046305999995</v>
      </c>
      <c r="S366" s="40">
        <v>0.78429073855999998</v>
      </c>
      <c r="T366" s="40">
        <v>0</v>
      </c>
      <c r="U366" s="40"/>
      <c r="V366" s="40">
        <v>0.64895710350000002</v>
      </c>
      <c r="W366" s="40">
        <v>1</v>
      </c>
      <c r="X366" s="40">
        <v>0.99623449496999994</v>
      </c>
      <c r="Y366" s="40">
        <v>0.93286219080999999</v>
      </c>
      <c r="Z366" s="40">
        <v>0.52941176469999995</v>
      </c>
      <c r="AA366" s="40"/>
      <c r="AB366" s="40"/>
      <c r="AC366" s="40">
        <v>0</v>
      </c>
      <c r="AD366" s="40">
        <v>0</v>
      </c>
      <c r="AE366" s="40"/>
      <c r="AF366" s="40"/>
      <c r="AG366" s="40"/>
      <c r="AH366" s="40"/>
    </row>
    <row r="367" spans="1:34" s="41" customFormat="1" ht="15" customHeight="1" x14ac:dyDescent="0.2">
      <c r="A367" s="42"/>
      <c r="B367" s="38" t="s">
        <v>133</v>
      </c>
      <c r="C367" s="42"/>
      <c r="D367" s="40">
        <f>SUM($E$367:$AH$367)</f>
        <v>4532687.5319647659</v>
      </c>
      <c r="E367" s="40">
        <v>278.19453874331998</v>
      </c>
      <c r="F367" s="40">
        <v>108.70894526027</v>
      </c>
      <c r="G367" s="40">
        <v>0</v>
      </c>
      <c r="H367" s="40">
        <v>46.946666666398393</v>
      </c>
      <c r="I367" s="40">
        <v>2.7777777777499999</v>
      </c>
      <c r="J367" s="40">
        <v>0</v>
      </c>
      <c r="K367" s="40">
        <v>411750.58</v>
      </c>
      <c r="L367" s="40">
        <v>4973.17</v>
      </c>
      <c r="M367" s="40">
        <v>102863.39742111308</v>
      </c>
      <c r="N367" s="40">
        <v>1705.1229101333827</v>
      </c>
      <c r="O367" s="40">
        <v>51.822424242095096</v>
      </c>
      <c r="P367" s="40">
        <v>0</v>
      </c>
      <c r="Q367" s="40">
        <v>976.54814052185986</v>
      </c>
      <c r="R367" s="40">
        <v>1188.8355421385052</v>
      </c>
      <c r="S367" s="40">
        <v>45.881008205759997</v>
      </c>
      <c r="T367" s="40">
        <v>0</v>
      </c>
      <c r="U367" s="40"/>
      <c r="V367" s="40">
        <v>125.03456513134499</v>
      </c>
      <c r="W367" s="40">
        <v>4007113.83</v>
      </c>
      <c r="X367" s="40">
        <v>1268.53526948015</v>
      </c>
      <c r="Y367" s="40">
        <v>183.3820494694298</v>
      </c>
      <c r="Z367" s="40">
        <v>4.7647058822999995</v>
      </c>
      <c r="AA367" s="40"/>
      <c r="AB367" s="40"/>
      <c r="AC367" s="40">
        <v>0</v>
      </c>
      <c r="AD367" s="40">
        <v>0</v>
      </c>
      <c r="AE367" s="40"/>
      <c r="AF367" s="40"/>
      <c r="AG367" s="40"/>
      <c r="AH367" s="40"/>
    </row>
    <row r="368" spans="1:34" ht="15" customHeight="1" x14ac:dyDescent="0.2"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  <c r="AH368" s="8"/>
    </row>
    <row r="369" spans="1:34" ht="15" customHeight="1" x14ac:dyDescent="0.2"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  <c r="AF369" s="8"/>
      <c r="AG369" s="8"/>
      <c r="AH369" s="8"/>
    </row>
    <row r="370" spans="1:34" ht="15" customHeight="1" x14ac:dyDescent="0.2"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8"/>
      <c r="AH370" s="8"/>
    </row>
    <row r="371" spans="1:34" ht="15" customHeight="1" x14ac:dyDescent="0.2"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  <c r="AF371" s="8"/>
      <c r="AG371" s="8"/>
      <c r="AH371" s="8"/>
    </row>
    <row r="372" spans="1:34" ht="15" customHeight="1" x14ac:dyDescent="0.2">
      <c r="A372" s="1" t="s">
        <v>134</v>
      </c>
      <c r="B372" s="7" t="s">
        <v>129</v>
      </c>
      <c r="C372" s="7" t="s">
        <v>37</v>
      </c>
      <c r="D372" s="8"/>
      <c r="E372" s="8">
        <v>348</v>
      </c>
      <c r="F372" s="8">
        <v>109</v>
      </c>
      <c r="G372" s="8">
        <v>18</v>
      </c>
      <c r="H372" s="8">
        <v>55.33</v>
      </c>
      <c r="I372" s="8">
        <v>5</v>
      </c>
      <c r="J372" s="8">
        <v>0</v>
      </c>
      <c r="K372" s="8">
        <v>411750.58</v>
      </c>
      <c r="L372" s="8">
        <v>4973.17</v>
      </c>
      <c r="M372" s="8">
        <v>102958.33</v>
      </c>
      <c r="N372" s="8">
        <v>1764.25</v>
      </c>
      <c r="O372" s="8">
        <v>69.33</v>
      </c>
      <c r="P372" s="8">
        <v>7</v>
      </c>
      <c r="Q372" s="8">
        <v>984.25</v>
      </c>
      <c r="R372" s="8">
        <v>1217.42</v>
      </c>
      <c r="S372" s="8">
        <v>58.5</v>
      </c>
      <c r="T372" s="8">
        <v>23</v>
      </c>
      <c r="U372" s="8"/>
      <c r="V372" s="8">
        <v>192.67</v>
      </c>
      <c r="W372" s="8">
        <v>4007113.83</v>
      </c>
      <c r="X372" s="8">
        <v>1273.33</v>
      </c>
      <c r="Y372" s="8">
        <v>196.58</v>
      </c>
      <c r="Z372" s="8">
        <v>9</v>
      </c>
      <c r="AA372" s="8"/>
      <c r="AB372" s="8"/>
      <c r="AC372" s="8">
        <v>4</v>
      </c>
      <c r="AD372" s="8">
        <v>13</v>
      </c>
      <c r="AE372" s="8">
        <v>2</v>
      </c>
      <c r="AF372" s="8">
        <v>1</v>
      </c>
      <c r="AG372" s="8">
        <v>0</v>
      </c>
      <c r="AH372" s="8">
        <v>1</v>
      </c>
    </row>
    <row r="373" spans="1:34" ht="15" customHeight="1" x14ac:dyDescent="0.2">
      <c r="B373" s="7" t="s">
        <v>130</v>
      </c>
      <c r="C373" s="7" t="s">
        <v>37</v>
      </c>
      <c r="D373" s="8"/>
      <c r="E373" s="8">
        <v>0</v>
      </c>
      <c r="F373" s="8">
        <v>0</v>
      </c>
      <c r="G373" s="8">
        <v>0</v>
      </c>
      <c r="H373" s="8">
        <v>0</v>
      </c>
      <c r="I373" s="8">
        <v>0</v>
      </c>
      <c r="J373" s="8">
        <v>0</v>
      </c>
      <c r="K373" s="8">
        <v>0</v>
      </c>
      <c r="L373" s="8">
        <v>0</v>
      </c>
      <c r="M373" s="8">
        <v>0</v>
      </c>
      <c r="N373" s="8">
        <v>0</v>
      </c>
      <c r="O373" s="8">
        <v>0</v>
      </c>
      <c r="P373" s="8">
        <v>0</v>
      </c>
      <c r="Q373" s="8">
        <v>0</v>
      </c>
      <c r="R373" s="8">
        <v>0</v>
      </c>
      <c r="S373" s="8">
        <v>0</v>
      </c>
      <c r="T373" s="8">
        <v>0</v>
      </c>
      <c r="U373" s="8"/>
      <c r="V373" s="8">
        <v>0</v>
      </c>
      <c r="W373" s="8">
        <v>0</v>
      </c>
      <c r="X373" s="8">
        <v>0</v>
      </c>
      <c r="Y373" s="8">
        <v>0</v>
      </c>
      <c r="Z373" s="8">
        <v>0</v>
      </c>
      <c r="AA373" s="8"/>
      <c r="AB373" s="8"/>
      <c r="AC373" s="8">
        <v>0</v>
      </c>
      <c r="AD373" s="8">
        <v>0</v>
      </c>
      <c r="AE373" s="8">
        <v>0</v>
      </c>
      <c r="AF373" s="8">
        <v>0</v>
      </c>
      <c r="AG373" s="8">
        <v>0</v>
      </c>
      <c r="AH373" s="8">
        <v>0</v>
      </c>
    </row>
    <row r="374" spans="1:34" ht="15" customHeight="1" x14ac:dyDescent="0.2">
      <c r="B374" s="7" t="s">
        <v>135</v>
      </c>
      <c r="C374" s="7" t="s">
        <v>42</v>
      </c>
      <c r="D374" s="8"/>
      <c r="E374" s="8">
        <v>5280.64</v>
      </c>
      <c r="F374" s="8">
        <v>4902.32</v>
      </c>
      <c r="G374" s="8">
        <v>23192.28</v>
      </c>
      <c r="H374" s="8">
        <v>2905.8090999999999</v>
      </c>
      <c r="I374" s="8">
        <v>4651.7070000000003</v>
      </c>
      <c r="J374" s="8">
        <v>0</v>
      </c>
      <c r="K374" s="8">
        <v>135.19239999999999</v>
      </c>
      <c r="L374" s="8">
        <v>83.445999999999998</v>
      </c>
      <c r="M374" s="8">
        <v>582.17229999999995</v>
      </c>
      <c r="N374" s="8">
        <v>1904.4205999999999</v>
      </c>
      <c r="O374" s="8">
        <v>3645.0241000000001</v>
      </c>
      <c r="P374" s="8">
        <v>8578.7829999999994</v>
      </c>
      <c r="Q374" s="8">
        <v>1286.2449999999999</v>
      </c>
      <c r="R374" s="8">
        <v>1974.0953999999999</v>
      </c>
      <c r="S374" s="8">
        <v>3439.549</v>
      </c>
      <c r="T374" s="8">
        <v>8091.826</v>
      </c>
      <c r="U374" s="8"/>
      <c r="V374" s="8">
        <v>2940.7453</v>
      </c>
      <c r="W374" s="8">
        <v>91.576899999999995</v>
      </c>
      <c r="X374" s="8">
        <v>947.1395</v>
      </c>
      <c r="Y374" s="8">
        <v>2111.7033999999999</v>
      </c>
      <c r="Z374" s="8">
        <v>4773.9273999999996</v>
      </c>
      <c r="AA374" s="8"/>
      <c r="AB374" s="8"/>
      <c r="AC374" s="8">
        <v>8355.9307000000008</v>
      </c>
      <c r="AD374" s="8">
        <v>8566.5221999999994</v>
      </c>
      <c r="AE374" s="8">
        <v>119857.9405</v>
      </c>
      <c r="AF374" s="8">
        <v>8578.7800000000007</v>
      </c>
      <c r="AG374" s="8">
        <v>119857.94</v>
      </c>
      <c r="AH374" s="8">
        <v>119857.94</v>
      </c>
    </row>
    <row r="375" spans="1:34" ht="15" customHeight="1" x14ac:dyDescent="0.2">
      <c r="B375" s="1" t="s">
        <v>136</v>
      </c>
      <c r="D375" s="8">
        <f>SUM($E$375:$AH$375)</f>
        <v>496425494.29957998</v>
      </c>
      <c r="E375" s="8">
        <v>1837662.72</v>
      </c>
      <c r="F375" s="8">
        <v>534352.88</v>
      </c>
      <c r="G375" s="8">
        <v>417461.04</v>
      </c>
      <c r="H375" s="8">
        <v>160778.417503</v>
      </c>
      <c r="I375" s="8">
        <v>23258.535000000003</v>
      </c>
      <c r="J375" s="8">
        <v>0</v>
      </c>
      <c r="K375" s="8">
        <v>55665549.111592002</v>
      </c>
      <c r="L375" s="8">
        <v>414991.14382</v>
      </c>
      <c r="M375" s="8">
        <v>59939487.780258998</v>
      </c>
      <c r="N375" s="8">
        <v>3359874.0435500001</v>
      </c>
      <c r="O375" s="8">
        <v>252709.52085299999</v>
      </c>
      <c r="P375" s="8">
        <v>60051.481</v>
      </c>
      <c r="Q375" s="8">
        <v>1265986.6412499999</v>
      </c>
      <c r="R375" s="8">
        <v>2403303.221868</v>
      </c>
      <c r="S375" s="8">
        <v>201213.6165</v>
      </c>
      <c r="T375" s="8">
        <v>186111.99799999999</v>
      </c>
      <c r="U375" s="8"/>
      <c r="V375" s="8">
        <v>566593.39695099997</v>
      </c>
      <c r="W375" s="8">
        <v>366959062.49852699</v>
      </c>
      <c r="X375" s="8">
        <v>1206021.1395349998</v>
      </c>
      <c r="Y375" s="8">
        <v>415118.65437200002</v>
      </c>
      <c r="Z375" s="8">
        <v>42965.346599999997</v>
      </c>
      <c r="AA375" s="8"/>
      <c r="AB375" s="8"/>
      <c r="AC375" s="8">
        <v>33423.722800000003</v>
      </c>
      <c r="AD375" s="8">
        <v>111364.7886</v>
      </c>
      <c r="AE375" s="8">
        <v>239715.88099999999</v>
      </c>
      <c r="AF375" s="8">
        <v>8578.7800000000007</v>
      </c>
      <c r="AG375" s="8">
        <v>0</v>
      </c>
      <c r="AH375" s="8">
        <v>119857.94</v>
      </c>
    </row>
    <row r="376" spans="1:34" ht="15" customHeight="1" x14ac:dyDescent="0.2"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/>
      <c r="AH376" s="8"/>
    </row>
    <row r="377" spans="1:34" ht="15" customHeight="1" x14ac:dyDescent="0.2"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8"/>
      <c r="AG377" s="8"/>
      <c r="AH377" s="8"/>
    </row>
    <row r="378" spans="1:34" ht="15" customHeight="1" x14ac:dyDescent="0.2"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  <c r="AH378" s="8"/>
    </row>
    <row r="379" spans="1:34" ht="15" customHeight="1" x14ac:dyDescent="0.2"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8"/>
      <c r="AG379" s="8"/>
      <c r="AH379" s="8"/>
    </row>
    <row r="380" spans="1:34" s="41" customFormat="1" ht="15" customHeight="1" x14ac:dyDescent="0.2">
      <c r="A380" s="38" t="s">
        <v>145</v>
      </c>
      <c r="B380" s="39" t="s">
        <v>129</v>
      </c>
      <c r="C380" s="39" t="s">
        <v>37</v>
      </c>
      <c r="D380" s="40"/>
      <c r="E380" s="40">
        <v>348</v>
      </c>
      <c r="F380" s="40">
        <v>109</v>
      </c>
      <c r="G380" s="40"/>
      <c r="H380" s="40">
        <v>55.33</v>
      </c>
      <c r="I380" s="40">
        <v>5</v>
      </c>
      <c r="J380" s="40"/>
      <c r="K380" s="40">
        <v>411750.58</v>
      </c>
      <c r="L380" s="40">
        <v>4973.17</v>
      </c>
      <c r="M380" s="40">
        <v>102958.33</v>
      </c>
      <c r="N380" s="40">
        <v>1764.25</v>
      </c>
      <c r="O380" s="40">
        <v>69.33</v>
      </c>
      <c r="P380" s="40"/>
      <c r="Q380" s="40">
        <v>984.25</v>
      </c>
      <c r="R380" s="40">
        <v>1217.42</v>
      </c>
      <c r="S380" s="40">
        <v>58.5</v>
      </c>
      <c r="T380" s="40">
        <v>23</v>
      </c>
      <c r="U380" s="40"/>
      <c r="V380" s="40">
        <v>192.67</v>
      </c>
      <c r="W380" s="40">
        <v>4007113.83</v>
      </c>
      <c r="X380" s="40">
        <v>1273.33</v>
      </c>
      <c r="Y380" s="40">
        <v>196.58</v>
      </c>
      <c r="Z380" s="40">
        <v>9</v>
      </c>
      <c r="AA380" s="40"/>
      <c r="AB380" s="40"/>
      <c r="AC380" s="40">
        <v>4</v>
      </c>
      <c r="AD380" s="40"/>
      <c r="AE380" s="40"/>
      <c r="AF380" s="40"/>
      <c r="AG380" s="40"/>
      <c r="AH380" s="40"/>
    </row>
    <row r="381" spans="1:34" s="41" customFormat="1" ht="15" customHeight="1" x14ac:dyDescent="0.2">
      <c r="A381" s="42"/>
      <c r="B381" s="39" t="s">
        <v>130</v>
      </c>
      <c r="C381" s="39" t="s">
        <v>37</v>
      </c>
      <c r="D381" s="40"/>
      <c r="E381" s="40">
        <v>0</v>
      </c>
      <c r="F381" s="40">
        <v>0</v>
      </c>
      <c r="G381" s="40"/>
      <c r="H381" s="40">
        <v>0</v>
      </c>
      <c r="I381" s="40">
        <v>0</v>
      </c>
      <c r="J381" s="40"/>
      <c r="K381" s="40">
        <v>0</v>
      </c>
      <c r="L381" s="40">
        <v>0</v>
      </c>
      <c r="M381" s="40">
        <v>0</v>
      </c>
      <c r="N381" s="40">
        <v>0</v>
      </c>
      <c r="O381" s="40">
        <v>0</v>
      </c>
      <c r="P381" s="40"/>
      <c r="Q381" s="40">
        <v>0</v>
      </c>
      <c r="R381" s="40">
        <v>0</v>
      </c>
      <c r="S381" s="40">
        <v>0</v>
      </c>
      <c r="T381" s="40">
        <v>0</v>
      </c>
      <c r="U381" s="40"/>
      <c r="V381" s="40">
        <v>0</v>
      </c>
      <c r="W381" s="40">
        <v>0</v>
      </c>
      <c r="X381" s="40">
        <v>0</v>
      </c>
      <c r="Y381" s="40">
        <v>0</v>
      </c>
      <c r="Z381" s="40">
        <v>0</v>
      </c>
      <c r="AA381" s="40"/>
      <c r="AB381" s="40"/>
      <c r="AC381" s="40">
        <v>0</v>
      </c>
      <c r="AD381" s="40"/>
      <c r="AE381" s="40"/>
      <c r="AF381" s="40"/>
      <c r="AG381" s="40"/>
      <c r="AH381" s="40"/>
    </row>
    <row r="382" spans="1:34" s="41" customFormat="1" ht="15" customHeight="1" x14ac:dyDescent="0.2">
      <c r="A382" s="42"/>
      <c r="B382" s="38" t="s">
        <v>146</v>
      </c>
      <c r="C382" s="42"/>
      <c r="D382" s="40">
        <f>SUM($E$382:$AH$382)</f>
        <v>4533105.57</v>
      </c>
      <c r="E382" s="40">
        <v>348</v>
      </c>
      <c r="F382" s="40">
        <v>109</v>
      </c>
      <c r="G382" s="40"/>
      <c r="H382" s="40">
        <v>55.33</v>
      </c>
      <c r="I382" s="40">
        <v>5</v>
      </c>
      <c r="J382" s="40"/>
      <c r="K382" s="40">
        <v>411750.58</v>
      </c>
      <c r="L382" s="40">
        <v>4973.17</v>
      </c>
      <c r="M382" s="40">
        <v>102958.33</v>
      </c>
      <c r="N382" s="40">
        <v>1764.25</v>
      </c>
      <c r="O382" s="40">
        <v>69.33</v>
      </c>
      <c r="P382" s="40"/>
      <c r="Q382" s="40">
        <v>984.25</v>
      </c>
      <c r="R382" s="40">
        <v>1217.42</v>
      </c>
      <c r="S382" s="40">
        <v>58.5</v>
      </c>
      <c r="T382" s="40">
        <v>23</v>
      </c>
      <c r="U382" s="40"/>
      <c r="V382" s="40">
        <v>192.67</v>
      </c>
      <c r="W382" s="40">
        <v>4007113.83</v>
      </c>
      <c r="X382" s="40">
        <v>1273.33</v>
      </c>
      <c r="Y382" s="40">
        <v>196.58</v>
      </c>
      <c r="Z382" s="40">
        <v>9</v>
      </c>
      <c r="AA382" s="40"/>
      <c r="AB382" s="40"/>
      <c r="AC382" s="40">
        <v>4</v>
      </c>
      <c r="AD382" s="40"/>
      <c r="AE382" s="40"/>
      <c r="AF382" s="40"/>
      <c r="AG382" s="40"/>
      <c r="AH382" s="40"/>
    </row>
    <row r="383" spans="1:34" ht="15" customHeight="1" x14ac:dyDescent="0.2"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  <c r="AG383" s="8"/>
      <c r="AH383" s="8"/>
    </row>
    <row r="384" spans="1:34" ht="15" customHeight="1" x14ac:dyDescent="0.2"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  <c r="AG384" s="8"/>
      <c r="AH384" s="8"/>
    </row>
    <row r="385" spans="1:34" ht="15" customHeight="1" x14ac:dyDescent="0.2"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8"/>
      <c r="AH385" s="8"/>
    </row>
    <row r="386" spans="1:34" ht="15" customHeight="1" x14ac:dyDescent="0.2"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  <c r="AF386" s="8"/>
      <c r="AG386" s="8"/>
      <c r="AH386" s="8"/>
    </row>
    <row r="387" spans="1:34" s="23" customFormat="1" ht="15" customHeight="1" x14ac:dyDescent="0.2">
      <c r="A387" s="20" t="s">
        <v>147</v>
      </c>
      <c r="B387" s="21" t="s">
        <v>148</v>
      </c>
      <c r="C387" s="21" t="s">
        <v>37</v>
      </c>
      <c r="D387" s="22">
        <f>SUM(E387:AI387)</f>
        <v>4970705.7489999998</v>
      </c>
      <c r="E387" s="22">
        <v>564.58299999999997</v>
      </c>
      <c r="F387" s="22">
        <v>124.833</v>
      </c>
      <c r="G387" s="22">
        <v>31.25</v>
      </c>
      <c r="H387" s="22">
        <v>71.5</v>
      </c>
      <c r="I387" s="22">
        <v>9.75</v>
      </c>
      <c r="J387" s="22">
        <v>0</v>
      </c>
      <c r="K387" s="22">
        <v>444583.58299999998</v>
      </c>
      <c r="L387" s="22">
        <v>5918.5829999999996</v>
      </c>
      <c r="M387" s="22">
        <v>110804</v>
      </c>
      <c r="N387" s="22">
        <v>2183.1669999999999</v>
      </c>
      <c r="O387" s="22">
        <v>198</v>
      </c>
      <c r="P387" s="22">
        <v>9.75</v>
      </c>
      <c r="Q387" s="22">
        <v>1033</v>
      </c>
      <c r="R387" s="22">
        <v>1533.25</v>
      </c>
      <c r="S387" s="22">
        <v>142.167</v>
      </c>
      <c r="T387" s="22">
        <v>49.832999999999998</v>
      </c>
      <c r="U387" s="22"/>
      <c r="V387" s="22">
        <v>211.75</v>
      </c>
      <c r="W387" s="22">
        <v>4401900.75</v>
      </c>
      <c r="X387" s="22">
        <v>1128.6669999999999</v>
      </c>
      <c r="Y387" s="22">
        <v>165.083</v>
      </c>
      <c r="Z387" s="22">
        <v>17</v>
      </c>
      <c r="AA387" s="22"/>
      <c r="AB387" s="22"/>
      <c r="AC387" s="22">
        <v>4.6669999999999998</v>
      </c>
      <c r="AD387" s="22">
        <v>16.582999999999998</v>
      </c>
      <c r="AE387" s="22">
        <v>2</v>
      </c>
      <c r="AF387" s="22">
        <v>1</v>
      </c>
      <c r="AG387" s="22">
        <v>0</v>
      </c>
      <c r="AH387" s="22">
        <v>1</v>
      </c>
    </row>
    <row r="388" spans="1:34" s="23" customFormat="1" ht="15" customHeight="1" x14ac:dyDescent="0.2">
      <c r="A388" s="24"/>
      <c r="B388" s="21" t="s">
        <v>135</v>
      </c>
      <c r="C388" s="21" t="s">
        <v>42</v>
      </c>
      <c r="D388" s="22"/>
      <c r="E388" s="22">
        <v>5280.64</v>
      </c>
      <c r="F388" s="22">
        <v>4902.32</v>
      </c>
      <c r="G388" s="22">
        <v>23192.28</v>
      </c>
      <c r="H388" s="22">
        <v>2905.8090999999999</v>
      </c>
      <c r="I388" s="22">
        <v>4651.7070000000003</v>
      </c>
      <c r="J388" s="22">
        <v>0</v>
      </c>
      <c r="K388" s="22">
        <v>135.19239999999999</v>
      </c>
      <c r="L388" s="22">
        <v>83.445999999999998</v>
      </c>
      <c r="M388" s="22">
        <v>582.17229999999995</v>
      </c>
      <c r="N388" s="22">
        <v>1904.4205999999999</v>
      </c>
      <c r="O388" s="22">
        <v>3645.0241000000001</v>
      </c>
      <c r="P388" s="22">
        <v>8578.7829999999994</v>
      </c>
      <c r="Q388" s="22">
        <v>1286.2449999999999</v>
      </c>
      <c r="R388" s="22">
        <v>1974.0953999999999</v>
      </c>
      <c r="S388" s="22">
        <v>3439.549</v>
      </c>
      <c r="T388" s="22">
        <v>8091.826</v>
      </c>
      <c r="U388" s="22"/>
      <c r="V388" s="22">
        <v>2940.7453</v>
      </c>
      <c r="W388" s="22">
        <v>91.576899999999995</v>
      </c>
      <c r="X388" s="22">
        <v>947.1395</v>
      </c>
      <c r="Y388" s="22">
        <v>2111.7033999999999</v>
      </c>
      <c r="Z388" s="22">
        <v>4773.9273999999996</v>
      </c>
      <c r="AA388" s="22"/>
      <c r="AB388" s="22"/>
      <c r="AC388" s="22">
        <v>8355.9307000000008</v>
      </c>
      <c r="AD388" s="22">
        <v>8566.5221999999994</v>
      </c>
      <c r="AE388" s="22">
        <v>119857.9405</v>
      </c>
      <c r="AF388" s="22">
        <v>8578.7800000000007</v>
      </c>
      <c r="AG388" s="22">
        <v>119857.94</v>
      </c>
      <c r="AH388" s="22">
        <v>119857.94</v>
      </c>
    </row>
    <row r="389" spans="1:34" s="23" customFormat="1" ht="15" customHeight="1" x14ac:dyDescent="0.2">
      <c r="A389" s="24"/>
      <c r="B389" s="20" t="s">
        <v>136</v>
      </c>
      <c r="C389" s="24"/>
      <c r="D389" s="22">
        <f>SUM($E$389:$AH$389)</f>
        <v>545670265.79444659</v>
      </c>
      <c r="E389" s="22">
        <v>2981359.5731199998</v>
      </c>
      <c r="F389" s="22">
        <v>611971.31255999999</v>
      </c>
      <c r="G389" s="22">
        <v>724758.75</v>
      </c>
      <c r="H389" s="22">
        <v>207765.35065000001</v>
      </c>
      <c r="I389" s="22">
        <v>45354.143250000001</v>
      </c>
      <c r="J389" s="22">
        <v>0</v>
      </c>
      <c r="K389" s="22">
        <v>60104321.586369194</v>
      </c>
      <c r="L389" s="22">
        <v>493882.07701799995</v>
      </c>
      <c r="M389" s="22">
        <v>64507019.529199995</v>
      </c>
      <c r="N389" s="22">
        <v>4157668.2080401997</v>
      </c>
      <c r="O389" s="22">
        <v>721714.77179999999</v>
      </c>
      <c r="P389" s="22">
        <v>83643.134249999988</v>
      </c>
      <c r="Q389" s="22">
        <v>1328691.085</v>
      </c>
      <c r="R389" s="22">
        <v>3026781.7720499998</v>
      </c>
      <c r="S389" s="22">
        <v>488990.36268299998</v>
      </c>
      <c r="T389" s="22">
        <v>403239.965058</v>
      </c>
      <c r="U389" s="22"/>
      <c r="V389" s="22">
        <v>622702.81727500004</v>
      </c>
      <c r="W389" s="22">
        <v>403112424.79267496</v>
      </c>
      <c r="X389" s="22">
        <v>1069005.0980465</v>
      </c>
      <c r="Y389" s="22">
        <v>348606.33238219999</v>
      </c>
      <c r="Z389" s="22">
        <v>81156.765799999994</v>
      </c>
      <c r="AA389" s="22"/>
      <c r="AB389" s="22"/>
      <c r="AC389" s="22">
        <v>38997.128576900002</v>
      </c>
      <c r="AD389" s="22">
        <v>142058.63764259996</v>
      </c>
      <c r="AE389" s="22">
        <v>239715.88099999999</v>
      </c>
      <c r="AF389" s="22">
        <v>8578.7800000000007</v>
      </c>
      <c r="AG389" s="22">
        <v>0</v>
      </c>
      <c r="AH389" s="22">
        <v>119857.94</v>
      </c>
    </row>
    <row r="390" spans="1:34" s="68" customFormat="1" ht="15" customHeight="1" x14ac:dyDescent="0.2">
      <c r="A390" s="32"/>
      <c r="B390" s="32"/>
      <c r="C390" s="32"/>
      <c r="D390" s="66"/>
      <c r="E390" s="67"/>
      <c r="F390" s="67"/>
      <c r="G390" s="67"/>
      <c r="H390" s="67"/>
      <c r="I390" s="67"/>
      <c r="J390" s="67"/>
      <c r="K390" s="67"/>
      <c r="L390" s="67"/>
      <c r="M390" s="67"/>
      <c r="N390" s="67"/>
      <c r="O390" s="67"/>
      <c r="P390" s="67"/>
      <c r="Q390" s="67"/>
      <c r="R390" s="67"/>
      <c r="S390" s="67"/>
      <c r="T390" s="67"/>
      <c r="U390" s="67"/>
      <c r="V390" s="67"/>
      <c r="W390" s="67"/>
      <c r="X390" s="67"/>
      <c r="Y390" s="67"/>
      <c r="Z390" s="67"/>
      <c r="AA390" s="67"/>
      <c r="AB390" s="67"/>
      <c r="AC390" s="67"/>
      <c r="AD390" s="67"/>
      <c r="AE390" s="67"/>
      <c r="AF390" s="67"/>
      <c r="AG390" s="67"/>
      <c r="AH390" s="67"/>
    </row>
    <row r="391" spans="1:34" ht="15" customHeight="1" x14ac:dyDescent="0.2"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  <c r="AF391" s="8"/>
      <c r="AG391" s="8"/>
      <c r="AH391" s="8"/>
    </row>
    <row r="392" spans="1:34" ht="15" customHeight="1" x14ac:dyDescent="0.2"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</row>
    <row r="393" spans="1:34" ht="15" customHeight="1" x14ac:dyDescent="0.2"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  <c r="AG393" s="8"/>
      <c r="AH393" s="8"/>
    </row>
    <row r="394" spans="1:34" ht="15" customHeight="1" x14ac:dyDescent="0.2">
      <c r="A394" s="1" t="s">
        <v>149</v>
      </c>
      <c r="B394" s="7" t="s">
        <v>137</v>
      </c>
      <c r="C394" s="7" t="s">
        <v>37</v>
      </c>
      <c r="D394" s="8"/>
      <c r="E394" s="8">
        <v>68.72</v>
      </c>
      <c r="F394" s="8">
        <v>68.72</v>
      </c>
      <c r="G394" s="8">
        <v>68.72</v>
      </c>
      <c r="H394" s="8">
        <v>68.72</v>
      </c>
      <c r="I394" s="8">
        <v>68.72</v>
      </c>
      <c r="J394" s="8">
        <v>68.72</v>
      </c>
      <c r="K394" s="8">
        <v>68.72</v>
      </c>
      <c r="L394" s="8">
        <v>68.72</v>
      </c>
      <c r="M394" s="8">
        <v>68.72</v>
      </c>
      <c r="N394" s="8">
        <v>68.72</v>
      </c>
      <c r="O394" s="8">
        <v>68.72</v>
      </c>
      <c r="P394" s="8">
        <v>68.72</v>
      </c>
      <c r="Q394" s="8">
        <v>68.72</v>
      </c>
      <c r="R394" s="8">
        <v>68.72</v>
      </c>
      <c r="S394" s="8">
        <v>68.72</v>
      </c>
      <c r="T394" s="8">
        <v>68.72</v>
      </c>
      <c r="U394" s="8">
        <v>68.72</v>
      </c>
      <c r="V394" s="8">
        <v>68.72</v>
      </c>
      <c r="W394" s="8">
        <v>68.72</v>
      </c>
      <c r="X394" s="8">
        <v>68.72</v>
      </c>
      <c r="Y394" s="8">
        <v>68.72</v>
      </c>
      <c r="Z394" s="8">
        <v>68.72</v>
      </c>
      <c r="AA394" s="8">
        <v>68.72</v>
      </c>
      <c r="AB394" s="8">
        <v>68.72</v>
      </c>
      <c r="AC394" s="8">
        <v>68.72</v>
      </c>
      <c r="AD394" s="8">
        <v>68.72</v>
      </c>
      <c r="AE394" s="8">
        <v>68.72</v>
      </c>
      <c r="AF394" s="8">
        <v>68.72</v>
      </c>
      <c r="AG394" s="8">
        <v>68.72</v>
      </c>
      <c r="AH394" s="8">
        <v>68.72</v>
      </c>
    </row>
    <row r="395" spans="1:34" ht="15" customHeight="1" x14ac:dyDescent="0.2">
      <c r="B395" s="1" t="s">
        <v>137</v>
      </c>
      <c r="D395" s="8">
        <f>SUM($E$395:$AH$395)</f>
        <v>2061.6000000000004</v>
      </c>
      <c r="E395" s="8">
        <v>68.72</v>
      </c>
      <c r="F395" s="8">
        <v>68.72</v>
      </c>
      <c r="G395" s="8">
        <v>68.72</v>
      </c>
      <c r="H395" s="8">
        <v>68.72</v>
      </c>
      <c r="I395" s="8">
        <v>68.72</v>
      </c>
      <c r="J395" s="8">
        <v>68.72</v>
      </c>
      <c r="K395" s="8">
        <v>68.72</v>
      </c>
      <c r="L395" s="8">
        <v>68.72</v>
      </c>
      <c r="M395" s="8">
        <v>68.72</v>
      </c>
      <c r="N395" s="8">
        <v>68.72</v>
      </c>
      <c r="O395" s="8">
        <v>68.72</v>
      </c>
      <c r="P395" s="8">
        <v>68.72</v>
      </c>
      <c r="Q395" s="8">
        <v>68.72</v>
      </c>
      <c r="R395" s="8">
        <v>68.72</v>
      </c>
      <c r="S395" s="8">
        <v>68.72</v>
      </c>
      <c r="T395" s="8">
        <v>68.72</v>
      </c>
      <c r="U395" s="8">
        <v>68.72</v>
      </c>
      <c r="V395" s="8">
        <v>68.72</v>
      </c>
      <c r="W395" s="8">
        <v>68.72</v>
      </c>
      <c r="X395" s="8">
        <v>68.72</v>
      </c>
      <c r="Y395" s="8">
        <v>68.72</v>
      </c>
      <c r="Z395" s="8">
        <v>68.72</v>
      </c>
      <c r="AA395" s="8">
        <v>68.72</v>
      </c>
      <c r="AB395" s="8">
        <v>68.72</v>
      </c>
      <c r="AC395" s="8">
        <v>68.72</v>
      </c>
      <c r="AD395" s="8">
        <v>68.72</v>
      </c>
      <c r="AE395" s="8">
        <v>68.72</v>
      </c>
      <c r="AF395" s="8">
        <v>68.72</v>
      </c>
      <c r="AG395" s="8">
        <v>68.72</v>
      </c>
      <c r="AH395" s="8">
        <v>68.72</v>
      </c>
    </row>
    <row r="396" spans="1:34" ht="15" customHeight="1" x14ac:dyDescent="0.2"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8"/>
    </row>
    <row r="397" spans="1:34" ht="15" customHeight="1" x14ac:dyDescent="0.2">
      <c r="B397" s="7" t="s">
        <v>138</v>
      </c>
      <c r="C397" s="7" t="s">
        <v>37</v>
      </c>
      <c r="D397" s="8"/>
      <c r="E397" s="8">
        <v>4248.88</v>
      </c>
      <c r="F397" s="8">
        <v>4280.1000000000004</v>
      </c>
      <c r="G397" s="8">
        <v>20295.79</v>
      </c>
      <c r="H397" s="8">
        <v>2110.6896999999999</v>
      </c>
      <c r="I397" s="8">
        <v>3174.9747000000002</v>
      </c>
      <c r="J397" s="8">
        <v>0</v>
      </c>
      <c r="K397" s="8">
        <v>106.3528</v>
      </c>
      <c r="L397" s="8">
        <v>60.797499999999999</v>
      </c>
      <c r="M397" s="8">
        <v>413.24979999999999</v>
      </c>
      <c r="N397" s="8">
        <v>1383.3272999999999</v>
      </c>
      <c r="O397" s="8">
        <v>2610.6269000000002</v>
      </c>
      <c r="P397" s="8">
        <v>5793.8729999999996</v>
      </c>
      <c r="Q397" s="8">
        <v>937.42129999999997</v>
      </c>
      <c r="R397" s="8">
        <v>1473.7343000000001</v>
      </c>
      <c r="S397" s="8">
        <v>2490.8539000000001</v>
      </c>
      <c r="T397" s="8">
        <v>5329.0637999999999</v>
      </c>
      <c r="U397" s="8">
        <v>0</v>
      </c>
      <c r="V397" s="8">
        <v>1832.5708</v>
      </c>
      <c r="W397" s="8">
        <v>68.721000000000004</v>
      </c>
      <c r="X397" s="8">
        <v>673.45780000000002</v>
      </c>
      <c r="Y397" s="8">
        <v>1514.9484</v>
      </c>
      <c r="Z397" s="8">
        <v>3240.1840000000002</v>
      </c>
      <c r="AA397" s="8">
        <v>0</v>
      </c>
      <c r="AB397" s="8">
        <v>0</v>
      </c>
      <c r="AC397" s="8">
        <v>5584.16</v>
      </c>
      <c r="AD397" s="8">
        <v>5781.6121999999996</v>
      </c>
      <c r="AE397" s="8">
        <v>117073.03049999999</v>
      </c>
      <c r="AF397" s="8">
        <v>5793.87</v>
      </c>
      <c r="AG397" s="8">
        <v>117073.03</v>
      </c>
      <c r="AH397" s="8">
        <v>117073.03</v>
      </c>
    </row>
    <row r="398" spans="1:34" ht="15" customHeight="1" x14ac:dyDescent="0.2">
      <c r="B398" s="7" t="s">
        <v>137</v>
      </c>
      <c r="C398" s="7" t="s">
        <v>62</v>
      </c>
      <c r="D398" s="8"/>
      <c r="E398" s="8">
        <v>68.72</v>
      </c>
      <c r="F398" s="8">
        <v>68.72</v>
      </c>
      <c r="G398" s="8">
        <v>68.72</v>
      </c>
      <c r="H398" s="8">
        <v>68.72</v>
      </c>
      <c r="I398" s="8">
        <v>68.72</v>
      </c>
      <c r="J398" s="8">
        <v>68.72</v>
      </c>
      <c r="K398" s="8">
        <v>68.72</v>
      </c>
      <c r="L398" s="8">
        <v>68.72</v>
      </c>
      <c r="M398" s="8">
        <v>68.72</v>
      </c>
      <c r="N398" s="8">
        <v>68.72</v>
      </c>
      <c r="O398" s="8">
        <v>68.72</v>
      </c>
      <c r="P398" s="8">
        <v>68.72</v>
      </c>
      <c r="Q398" s="8">
        <v>68.72</v>
      </c>
      <c r="R398" s="8">
        <v>68.72</v>
      </c>
      <c r="S398" s="8">
        <v>68.72</v>
      </c>
      <c r="T398" s="8">
        <v>68.72</v>
      </c>
      <c r="U398" s="8">
        <v>68.72</v>
      </c>
      <c r="V398" s="8">
        <v>68.72</v>
      </c>
      <c r="W398" s="8">
        <v>68.72</v>
      </c>
      <c r="X398" s="8">
        <v>68.72</v>
      </c>
      <c r="Y398" s="8">
        <v>68.72</v>
      </c>
      <c r="Z398" s="8">
        <v>68.72</v>
      </c>
      <c r="AA398" s="8">
        <v>68.72</v>
      </c>
      <c r="AB398" s="8">
        <v>68.72</v>
      </c>
      <c r="AC398" s="8">
        <v>68.72</v>
      </c>
      <c r="AD398" s="8">
        <v>68.72</v>
      </c>
      <c r="AE398" s="8">
        <v>68.72</v>
      </c>
      <c r="AF398" s="8">
        <v>68.72</v>
      </c>
      <c r="AG398" s="8">
        <v>68.72</v>
      </c>
      <c r="AH398" s="8">
        <v>68.72</v>
      </c>
    </row>
    <row r="399" spans="1:34" ht="15" customHeight="1" x14ac:dyDescent="0.2">
      <c r="B399" s="1" t="s">
        <v>139</v>
      </c>
      <c r="D399" s="8">
        <f>SUM($E$399:$AH$399)</f>
        <v>6263.3636452270075</v>
      </c>
      <c r="E399" s="8">
        <v>61.828870779976718</v>
      </c>
      <c r="F399" s="8">
        <v>62.283178114086155</v>
      </c>
      <c r="G399" s="8">
        <v>295.34036670547152</v>
      </c>
      <c r="H399" s="8">
        <v>30.714343713620487</v>
      </c>
      <c r="I399" s="8">
        <v>46.201610884749712</v>
      </c>
      <c r="J399" s="8">
        <v>0</v>
      </c>
      <c r="K399" s="8">
        <v>1.5476251455180443</v>
      </c>
      <c r="L399" s="8">
        <v>0.88471332945285219</v>
      </c>
      <c r="M399" s="8">
        <v>6.0135302677532012</v>
      </c>
      <c r="N399" s="8">
        <v>20.129908323632129</v>
      </c>
      <c r="O399" s="8">
        <v>37.989332072176957</v>
      </c>
      <c r="P399" s="8">
        <v>84.311306752037254</v>
      </c>
      <c r="Q399" s="8">
        <v>13.641171420256111</v>
      </c>
      <c r="R399" s="8">
        <v>21.445493306169965</v>
      </c>
      <c r="S399" s="8">
        <v>36.246418800931316</v>
      </c>
      <c r="T399" s="8">
        <v>77.547494179278232</v>
      </c>
      <c r="U399" s="8">
        <v>0</v>
      </c>
      <c r="V399" s="8">
        <v>26.667211874272411</v>
      </c>
      <c r="W399" s="8">
        <v>1.0000145518044239</v>
      </c>
      <c r="X399" s="8">
        <v>9.8000261932479624</v>
      </c>
      <c r="Y399" s="8">
        <v>22.04523282887078</v>
      </c>
      <c r="Z399" s="8">
        <v>47.150523864959261</v>
      </c>
      <c r="AA399" s="8">
        <v>0</v>
      </c>
      <c r="AB399" s="8">
        <v>0</v>
      </c>
      <c r="AC399" s="8">
        <v>81.259604190919674</v>
      </c>
      <c r="AD399" s="8">
        <v>84.132889988358556</v>
      </c>
      <c r="AE399" s="8">
        <v>1703.6238431315483</v>
      </c>
      <c r="AF399" s="8">
        <v>84.311263096623975</v>
      </c>
      <c r="AG399" s="8">
        <v>1703.6238358556461</v>
      </c>
      <c r="AH399" s="8">
        <v>1703.6238358556461</v>
      </c>
    </row>
    <row r="400" spans="1:34" ht="15" customHeight="1" x14ac:dyDescent="0.2"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8"/>
    </row>
    <row r="401" spans="2:34" ht="15" customHeight="1" x14ac:dyDescent="0.2">
      <c r="B401" s="7" t="s">
        <v>139</v>
      </c>
      <c r="C401" s="7" t="s">
        <v>37</v>
      </c>
      <c r="D401" s="8"/>
      <c r="E401" s="8">
        <v>61.828870779976718</v>
      </c>
      <c r="F401" s="8">
        <v>62.283178114086155</v>
      </c>
      <c r="G401" s="8">
        <v>295.34036670547152</v>
      </c>
      <c r="H401" s="8">
        <v>30.714343713620487</v>
      </c>
      <c r="I401" s="8">
        <v>46.201610884749712</v>
      </c>
      <c r="J401" s="8">
        <v>0</v>
      </c>
      <c r="K401" s="8">
        <v>1.5476251455180443</v>
      </c>
      <c r="L401" s="8">
        <v>0.88471332945285219</v>
      </c>
      <c r="M401" s="8">
        <v>6.0135302677532012</v>
      </c>
      <c r="N401" s="8">
        <v>20.129908323632129</v>
      </c>
      <c r="O401" s="8">
        <v>37.989332072176957</v>
      </c>
      <c r="P401" s="8">
        <v>84.311306752037254</v>
      </c>
      <c r="Q401" s="8">
        <v>13.641171420256111</v>
      </c>
      <c r="R401" s="8">
        <v>21.445493306169965</v>
      </c>
      <c r="S401" s="8">
        <v>36.246418800931316</v>
      </c>
      <c r="T401" s="8">
        <v>77.547494179278232</v>
      </c>
      <c r="U401" s="8">
        <v>0</v>
      </c>
      <c r="V401" s="8">
        <v>26.667211874272411</v>
      </c>
      <c r="W401" s="8">
        <v>1.0000145518044239</v>
      </c>
      <c r="X401" s="8">
        <v>9.8000261932479624</v>
      </c>
      <c r="Y401" s="8">
        <v>22.04523282887078</v>
      </c>
      <c r="Z401" s="8">
        <v>47.150523864959261</v>
      </c>
      <c r="AA401" s="8">
        <v>1</v>
      </c>
      <c r="AB401" s="8">
        <v>0</v>
      </c>
      <c r="AC401" s="8">
        <v>81.259604190919674</v>
      </c>
      <c r="AD401" s="8">
        <v>84.132889988358556</v>
      </c>
      <c r="AE401" s="8">
        <v>1703.6238431315483</v>
      </c>
      <c r="AF401" s="8">
        <v>84.311263096623975</v>
      </c>
      <c r="AG401" s="8">
        <v>1703.6238358556461</v>
      </c>
      <c r="AH401" s="8">
        <v>1703.6238358556461</v>
      </c>
    </row>
    <row r="402" spans="2:34" ht="15" customHeight="1" x14ac:dyDescent="0.2">
      <c r="B402" s="1" t="s">
        <v>140</v>
      </c>
      <c r="D402" s="8">
        <f>SUM($E$402:$AH$402)</f>
        <v>6264.3636452270075</v>
      </c>
      <c r="E402" s="8">
        <v>61.828870779976718</v>
      </c>
      <c r="F402" s="8">
        <v>62.283178114086155</v>
      </c>
      <c r="G402" s="8">
        <v>295.34036670547152</v>
      </c>
      <c r="H402" s="8">
        <v>30.714343713620487</v>
      </c>
      <c r="I402" s="8">
        <v>46.201610884749712</v>
      </c>
      <c r="J402" s="8">
        <v>0</v>
      </c>
      <c r="K402" s="8">
        <v>1.5476251455180443</v>
      </c>
      <c r="L402" s="8">
        <v>0.88471332945285219</v>
      </c>
      <c r="M402" s="8">
        <v>6.0135302677532012</v>
      </c>
      <c r="N402" s="8">
        <v>20.129908323632129</v>
      </c>
      <c r="O402" s="8">
        <v>37.989332072176957</v>
      </c>
      <c r="P402" s="8">
        <v>84.311306752037254</v>
      </c>
      <c r="Q402" s="8">
        <v>13.641171420256111</v>
      </c>
      <c r="R402" s="8">
        <v>21.445493306169965</v>
      </c>
      <c r="S402" s="8">
        <v>36.246418800931316</v>
      </c>
      <c r="T402" s="8">
        <v>77.547494179278232</v>
      </c>
      <c r="U402" s="8">
        <v>0</v>
      </c>
      <c r="V402" s="8">
        <v>26.667211874272411</v>
      </c>
      <c r="W402" s="8">
        <v>1.0000145518044239</v>
      </c>
      <c r="X402" s="8">
        <v>9.8000261932479624</v>
      </c>
      <c r="Y402" s="8">
        <v>22.04523282887078</v>
      </c>
      <c r="Z402" s="8">
        <v>47.150523864959261</v>
      </c>
      <c r="AA402" s="8">
        <v>1</v>
      </c>
      <c r="AB402" s="8">
        <v>0</v>
      </c>
      <c r="AC402" s="8">
        <v>81.259604190919674</v>
      </c>
      <c r="AD402" s="8">
        <v>84.132889988358556</v>
      </c>
      <c r="AE402" s="8">
        <v>1703.6238431315483</v>
      </c>
      <c r="AF402" s="8">
        <v>84.311263096623975</v>
      </c>
      <c r="AG402" s="8">
        <v>1703.6238358556461</v>
      </c>
      <c r="AH402" s="8">
        <v>1703.6238358556461</v>
      </c>
    </row>
    <row r="403" spans="2:34" ht="15" customHeight="1" x14ac:dyDescent="0.2"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  <c r="AF403" s="8"/>
      <c r="AG403" s="8"/>
      <c r="AH403" s="8"/>
    </row>
    <row r="404" spans="2:34" ht="15" customHeight="1" x14ac:dyDescent="0.2">
      <c r="B404" s="7" t="s">
        <v>140</v>
      </c>
      <c r="C404" s="7" t="s">
        <v>37</v>
      </c>
      <c r="D404" s="8"/>
      <c r="E404" s="8">
        <v>61.828870779976718</v>
      </c>
      <c r="F404" s="8">
        <v>62.283178114086155</v>
      </c>
      <c r="G404" s="8">
        <v>295.34036670547152</v>
      </c>
      <c r="H404" s="8">
        <v>30.714343713620487</v>
      </c>
      <c r="I404" s="8">
        <v>46.201610884749712</v>
      </c>
      <c r="J404" s="8">
        <v>0</v>
      </c>
      <c r="K404" s="8">
        <v>1.5476251455180443</v>
      </c>
      <c r="L404" s="8">
        <v>0.88471332945285219</v>
      </c>
      <c r="M404" s="8">
        <v>6.0135302677532012</v>
      </c>
      <c r="N404" s="8">
        <v>20.129908323632129</v>
      </c>
      <c r="O404" s="8">
        <v>37.989332072176957</v>
      </c>
      <c r="P404" s="8">
        <v>84.311306752037254</v>
      </c>
      <c r="Q404" s="8">
        <v>13.641171420256111</v>
      </c>
      <c r="R404" s="8">
        <v>21.445493306169965</v>
      </c>
      <c r="S404" s="8">
        <v>36.246418800931316</v>
      </c>
      <c r="T404" s="8">
        <v>77.547494179278232</v>
      </c>
      <c r="U404" s="8">
        <v>0</v>
      </c>
      <c r="V404" s="8">
        <v>26.667211874272411</v>
      </c>
      <c r="W404" s="8">
        <v>1.0000145518044239</v>
      </c>
      <c r="X404" s="8">
        <v>9.8000261932479624</v>
      </c>
      <c r="Y404" s="8">
        <v>22.04523282887078</v>
      </c>
      <c r="Z404" s="8">
        <v>47.150523864959261</v>
      </c>
      <c r="AA404" s="8">
        <v>1</v>
      </c>
      <c r="AB404" s="8">
        <v>1</v>
      </c>
      <c r="AC404" s="8">
        <v>81.259604190919674</v>
      </c>
      <c r="AD404" s="8">
        <v>84.132889988358556</v>
      </c>
      <c r="AE404" s="8">
        <v>1703.6238431315483</v>
      </c>
      <c r="AF404" s="8">
        <v>84.311263096623975</v>
      </c>
      <c r="AG404" s="8">
        <v>1703.6238358556461</v>
      </c>
      <c r="AH404" s="8">
        <v>1703.6238358556461</v>
      </c>
    </row>
    <row r="405" spans="2:34" ht="15" customHeight="1" x14ac:dyDescent="0.2">
      <c r="B405" s="1" t="s">
        <v>141</v>
      </c>
      <c r="D405" s="8">
        <f>SUM($E$405:$AH$405)</f>
        <v>6265.3636452270075</v>
      </c>
      <c r="E405" s="8">
        <v>61.828870779976718</v>
      </c>
      <c r="F405" s="8">
        <v>62.283178114086155</v>
      </c>
      <c r="G405" s="8">
        <v>295.34036670547152</v>
      </c>
      <c r="H405" s="8">
        <v>30.714343713620487</v>
      </c>
      <c r="I405" s="8">
        <v>46.201610884749712</v>
      </c>
      <c r="J405" s="8">
        <v>0</v>
      </c>
      <c r="K405" s="8">
        <v>1.5476251455180443</v>
      </c>
      <c r="L405" s="8">
        <v>0.88471332945285219</v>
      </c>
      <c r="M405" s="8">
        <v>6.0135302677532012</v>
      </c>
      <c r="N405" s="8">
        <v>20.129908323632129</v>
      </c>
      <c r="O405" s="8">
        <v>37.989332072176957</v>
      </c>
      <c r="P405" s="8">
        <v>84.311306752037254</v>
      </c>
      <c r="Q405" s="8">
        <v>13.641171420256111</v>
      </c>
      <c r="R405" s="8">
        <v>21.445493306169965</v>
      </c>
      <c r="S405" s="8">
        <v>36.246418800931316</v>
      </c>
      <c r="T405" s="8">
        <v>77.547494179278232</v>
      </c>
      <c r="U405" s="8">
        <v>0</v>
      </c>
      <c r="V405" s="8">
        <v>26.667211874272411</v>
      </c>
      <c r="W405" s="8">
        <v>1.0000145518044239</v>
      </c>
      <c r="X405" s="8">
        <v>9.8000261932479624</v>
      </c>
      <c r="Y405" s="8">
        <v>22.04523282887078</v>
      </c>
      <c r="Z405" s="8">
        <v>47.150523864959261</v>
      </c>
      <c r="AA405" s="8">
        <v>1</v>
      </c>
      <c r="AB405" s="8">
        <v>1</v>
      </c>
      <c r="AC405" s="8">
        <v>81.259604190919674</v>
      </c>
      <c r="AD405" s="8">
        <v>84.132889988358556</v>
      </c>
      <c r="AE405" s="8">
        <v>1703.6238431315483</v>
      </c>
      <c r="AF405" s="8">
        <v>84.311263096623975</v>
      </c>
      <c r="AG405" s="8">
        <v>1703.6238358556461</v>
      </c>
      <c r="AH405" s="8">
        <v>1703.6238358556461</v>
      </c>
    </row>
    <row r="406" spans="2:34" ht="15" customHeight="1" x14ac:dyDescent="0.2"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  <c r="AH406" s="8"/>
    </row>
    <row r="407" spans="2:34" ht="15" customHeight="1" x14ac:dyDescent="0.2">
      <c r="B407" s="7" t="s">
        <v>141</v>
      </c>
      <c r="C407" s="7" t="s">
        <v>37</v>
      </c>
      <c r="D407" s="8"/>
      <c r="E407" s="8">
        <v>61.828870779976718</v>
      </c>
      <c r="F407" s="8">
        <v>62.283178114086155</v>
      </c>
      <c r="G407" s="8">
        <v>295.34036670547152</v>
      </c>
      <c r="H407" s="8">
        <v>30.714343713620487</v>
      </c>
      <c r="I407" s="8">
        <v>46.201610884749712</v>
      </c>
      <c r="J407" s="8">
        <v>0</v>
      </c>
      <c r="K407" s="8">
        <v>1.5476251455180443</v>
      </c>
      <c r="L407" s="8">
        <v>0.88471332945285219</v>
      </c>
      <c r="M407" s="8">
        <v>6.0135302677532012</v>
      </c>
      <c r="N407" s="8">
        <v>20.129908323632129</v>
      </c>
      <c r="O407" s="8">
        <v>37.989332072176957</v>
      </c>
      <c r="P407" s="8">
        <v>84.311306752037254</v>
      </c>
      <c r="Q407" s="8">
        <v>13.641171420256111</v>
      </c>
      <c r="R407" s="8">
        <v>21.445493306169965</v>
      </c>
      <c r="S407" s="8">
        <v>36.246418800931316</v>
      </c>
      <c r="T407" s="8">
        <v>77.547494179278232</v>
      </c>
      <c r="U407" s="8">
        <v>1</v>
      </c>
      <c r="V407" s="8">
        <v>26.667211874272411</v>
      </c>
      <c r="W407" s="8">
        <v>1.0000145518044239</v>
      </c>
      <c r="X407" s="8">
        <v>9.8000261932479624</v>
      </c>
      <c r="Y407" s="8">
        <v>22.04523282887078</v>
      </c>
      <c r="Z407" s="8">
        <v>47.150523864959261</v>
      </c>
      <c r="AA407" s="8">
        <v>1</v>
      </c>
      <c r="AB407" s="8">
        <v>1</v>
      </c>
      <c r="AC407" s="8">
        <v>81.259604190919674</v>
      </c>
      <c r="AD407" s="8">
        <v>84.132889988358556</v>
      </c>
      <c r="AE407" s="8">
        <v>1703.6238431315483</v>
      </c>
      <c r="AF407" s="8">
        <v>84.311263096623975</v>
      </c>
      <c r="AG407" s="8">
        <v>1703.6238358556461</v>
      </c>
      <c r="AH407" s="8">
        <v>1703.6238358556461</v>
      </c>
    </row>
    <row r="408" spans="2:34" ht="15" customHeight="1" x14ac:dyDescent="0.2">
      <c r="B408" s="1" t="s">
        <v>142</v>
      </c>
      <c r="D408" s="8">
        <f>SUM($E$408:$AH$408)</f>
        <v>6266.3636452270075</v>
      </c>
      <c r="E408" s="8">
        <v>61.828870779976718</v>
      </c>
      <c r="F408" s="8">
        <v>62.283178114086155</v>
      </c>
      <c r="G408" s="8">
        <v>295.34036670547152</v>
      </c>
      <c r="H408" s="8">
        <v>30.714343713620487</v>
      </c>
      <c r="I408" s="8">
        <v>46.201610884749712</v>
      </c>
      <c r="J408" s="8">
        <v>0</v>
      </c>
      <c r="K408" s="8">
        <v>1.5476251455180443</v>
      </c>
      <c r="L408" s="8">
        <v>0.88471332945285219</v>
      </c>
      <c r="M408" s="8">
        <v>6.0135302677532012</v>
      </c>
      <c r="N408" s="8">
        <v>20.129908323632129</v>
      </c>
      <c r="O408" s="8">
        <v>37.989332072176957</v>
      </c>
      <c r="P408" s="8">
        <v>84.311306752037254</v>
      </c>
      <c r="Q408" s="8">
        <v>13.641171420256111</v>
      </c>
      <c r="R408" s="8">
        <v>21.445493306169965</v>
      </c>
      <c r="S408" s="8">
        <v>36.246418800931316</v>
      </c>
      <c r="T408" s="8">
        <v>77.547494179278232</v>
      </c>
      <c r="U408" s="8">
        <v>1</v>
      </c>
      <c r="V408" s="8">
        <v>26.667211874272411</v>
      </c>
      <c r="W408" s="8">
        <v>1.0000145518044239</v>
      </c>
      <c r="X408" s="8">
        <v>9.8000261932479624</v>
      </c>
      <c r="Y408" s="8">
        <v>22.04523282887078</v>
      </c>
      <c r="Z408" s="8">
        <v>47.150523864959261</v>
      </c>
      <c r="AA408" s="8">
        <v>1</v>
      </c>
      <c r="AB408" s="8">
        <v>1</v>
      </c>
      <c r="AC408" s="8">
        <v>81.259604190919674</v>
      </c>
      <c r="AD408" s="8">
        <v>84.132889988358556</v>
      </c>
      <c r="AE408" s="8">
        <v>1703.6238431315483</v>
      </c>
      <c r="AF408" s="8">
        <v>84.311263096623975</v>
      </c>
      <c r="AG408" s="8">
        <v>1703.6238358556461</v>
      </c>
      <c r="AH408" s="8">
        <v>1703.6238358556461</v>
      </c>
    </row>
    <row r="409" spans="2:34" ht="15" customHeight="1" x14ac:dyDescent="0.2"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  <c r="AF409" s="8"/>
      <c r="AG409" s="8"/>
      <c r="AH409" s="8"/>
    </row>
    <row r="410" spans="2:34" ht="15" customHeight="1" x14ac:dyDescent="0.2">
      <c r="B410" s="7" t="s">
        <v>142</v>
      </c>
      <c r="C410" s="7" t="s">
        <v>37</v>
      </c>
      <c r="D410" s="8"/>
      <c r="E410" s="8">
        <v>61.828870779976718</v>
      </c>
      <c r="F410" s="8">
        <v>62.283178114086155</v>
      </c>
      <c r="G410" s="8">
        <v>295.34036670547152</v>
      </c>
      <c r="H410" s="8">
        <v>30.714343713620487</v>
      </c>
      <c r="I410" s="8">
        <v>46.201610884749712</v>
      </c>
      <c r="J410" s="8">
        <v>0</v>
      </c>
      <c r="K410" s="8">
        <v>1.5476251455180443</v>
      </c>
      <c r="L410" s="8">
        <v>0.88471332945285219</v>
      </c>
      <c r="M410" s="8">
        <v>6.0135302677532012</v>
      </c>
      <c r="N410" s="8">
        <v>20.129908323632129</v>
      </c>
      <c r="O410" s="8">
        <v>37.989332072176957</v>
      </c>
      <c r="P410" s="8">
        <v>84.311306752037254</v>
      </c>
      <c r="Q410" s="8">
        <v>13.641171420256111</v>
      </c>
      <c r="R410" s="8">
        <v>21.445493306169965</v>
      </c>
      <c r="S410" s="8">
        <v>36.246418800931316</v>
      </c>
      <c r="T410" s="8">
        <v>77.547494179278232</v>
      </c>
      <c r="U410" s="8">
        <v>1</v>
      </c>
      <c r="V410" s="8">
        <v>26.667211874272411</v>
      </c>
      <c r="W410" s="8">
        <v>1.0000145518044239</v>
      </c>
      <c r="X410" s="8">
        <v>9.8000261932479624</v>
      </c>
      <c r="Y410" s="8">
        <v>22.04523282887078</v>
      </c>
      <c r="Z410" s="8">
        <v>47.150523864959261</v>
      </c>
      <c r="AA410" s="8">
        <v>1</v>
      </c>
      <c r="AB410" s="8">
        <v>1</v>
      </c>
      <c r="AC410" s="8">
        <v>81.259604190919674</v>
      </c>
      <c r="AD410" s="8">
        <v>84.132889988358556</v>
      </c>
      <c r="AE410" s="8">
        <v>1703.6238431315483</v>
      </c>
      <c r="AF410" s="8">
        <v>84.311263096623975</v>
      </c>
      <c r="AG410" s="8">
        <v>1703.6238358556461</v>
      </c>
      <c r="AH410" s="8">
        <v>1703.6238358556461</v>
      </c>
    </row>
    <row r="411" spans="2:34" ht="15" customHeight="1" x14ac:dyDescent="0.2">
      <c r="B411" s="1" t="s">
        <v>143</v>
      </c>
      <c r="D411" s="8">
        <f>SUM($E$411:$AH$411)</f>
        <v>6266.3636452270075</v>
      </c>
      <c r="E411" s="8">
        <v>61.828870779976718</v>
      </c>
      <c r="F411" s="8">
        <v>62.283178114086155</v>
      </c>
      <c r="G411" s="8">
        <v>295.34036670547152</v>
      </c>
      <c r="H411" s="8">
        <v>30.714343713620487</v>
      </c>
      <c r="I411" s="8">
        <v>46.201610884749712</v>
      </c>
      <c r="J411" s="8">
        <v>0</v>
      </c>
      <c r="K411" s="8">
        <v>1.5476251455180443</v>
      </c>
      <c r="L411" s="8">
        <v>0.88471332945285219</v>
      </c>
      <c r="M411" s="8">
        <v>6.0135302677532012</v>
      </c>
      <c r="N411" s="8">
        <v>20.129908323632129</v>
      </c>
      <c r="O411" s="8">
        <v>37.989332072176957</v>
      </c>
      <c r="P411" s="8">
        <v>84.311306752037254</v>
      </c>
      <c r="Q411" s="8">
        <v>13.641171420256111</v>
      </c>
      <c r="R411" s="8">
        <v>21.445493306169965</v>
      </c>
      <c r="S411" s="8">
        <v>36.246418800931316</v>
      </c>
      <c r="T411" s="8">
        <v>77.547494179278232</v>
      </c>
      <c r="U411" s="8">
        <v>1</v>
      </c>
      <c r="V411" s="8">
        <v>26.667211874272411</v>
      </c>
      <c r="W411" s="8">
        <v>1.0000145518044239</v>
      </c>
      <c r="X411" s="8">
        <v>9.8000261932479624</v>
      </c>
      <c r="Y411" s="8">
        <v>22.04523282887078</v>
      </c>
      <c r="Z411" s="8">
        <v>47.150523864959261</v>
      </c>
      <c r="AA411" s="8">
        <v>1</v>
      </c>
      <c r="AB411" s="8">
        <v>1</v>
      </c>
      <c r="AC411" s="8">
        <v>81.259604190919674</v>
      </c>
      <c r="AD411" s="8">
        <v>84.132889988358556</v>
      </c>
      <c r="AE411" s="8">
        <v>1703.6238431315483</v>
      </c>
      <c r="AF411" s="8">
        <v>84.311263096623975</v>
      </c>
      <c r="AG411" s="8">
        <v>1703.6238358556461</v>
      </c>
      <c r="AH411" s="8">
        <v>1703.6238358556461</v>
      </c>
    </row>
    <row r="412" spans="2:34" ht="15" customHeight="1" x14ac:dyDescent="0.2"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  <c r="AH412" s="8"/>
    </row>
    <row r="413" spans="2:34" ht="15" customHeight="1" x14ac:dyDescent="0.2">
      <c r="B413" s="7" t="s">
        <v>129</v>
      </c>
      <c r="C413" s="7" t="s">
        <v>37</v>
      </c>
      <c r="D413" s="8"/>
      <c r="E413" s="8">
        <v>348</v>
      </c>
      <c r="F413" s="8">
        <v>109</v>
      </c>
      <c r="G413" s="8">
        <v>18</v>
      </c>
      <c r="H413" s="8">
        <v>55.33</v>
      </c>
      <c r="I413" s="8">
        <v>5</v>
      </c>
      <c r="J413" s="8">
        <v>0</v>
      </c>
      <c r="K413" s="8">
        <v>411750.58</v>
      </c>
      <c r="L413" s="8">
        <v>4973.17</v>
      </c>
      <c r="M413" s="8">
        <v>102958.33</v>
      </c>
      <c r="N413" s="8">
        <v>1764.25</v>
      </c>
      <c r="O413" s="8">
        <v>69.33</v>
      </c>
      <c r="P413" s="8">
        <v>7</v>
      </c>
      <c r="Q413" s="8">
        <v>984.25</v>
      </c>
      <c r="R413" s="8">
        <v>1217.42</v>
      </c>
      <c r="S413" s="8">
        <v>58.5</v>
      </c>
      <c r="T413" s="8">
        <v>23</v>
      </c>
      <c r="U413" s="8">
        <v>6435.5</v>
      </c>
      <c r="V413" s="8">
        <v>192.67</v>
      </c>
      <c r="W413" s="8">
        <v>4007113.83</v>
      </c>
      <c r="X413" s="8">
        <v>1273.33</v>
      </c>
      <c r="Y413" s="8">
        <v>196.58</v>
      </c>
      <c r="Z413" s="8">
        <v>9</v>
      </c>
      <c r="AA413" s="8">
        <v>8336.92</v>
      </c>
      <c r="AB413" s="8">
        <v>842.58</v>
      </c>
      <c r="AC413" s="8">
        <v>4</v>
      </c>
      <c r="AD413" s="8">
        <v>13</v>
      </c>
      <c r="AE413" s="8">
        <v>2</v>
      </c>
      <c r="AF413" s="8">
        <v>1</v>
      </c>
      <c r="AG413" s="8">
        <v>0</v>
      </c>
      <c r="AH413" s="8">
        <v>1</v>
      </c>
    </row>
    <row r="414" spans="2:34" ht="15" customHeight="1" x14ac:dyDescent="0.2">
      <c r="B414" s="7" t="s">
        <v>130</v>
      </c>
      <c r="C414" s="7" t="s">
        <v>37</v>
      </c>
      <c r="D414" s="8"/>
      <c r="E414" s="8">
        <v>0</v>
      </c>
      <c r="F414" s="8">
        <v>0</v>
      </c>
      <c r="G414" s="8">
        <v>0</v>
      </c>
      <c r="H414" s="8">
        <v>0</v>
      </c>
      <c r="I414" s="8">
        <v>0</v>
      </c>
      <c r="J414" s="8">
        <v>0</v>
      </c>
      <c r="K414" s="8">
        <v>0</v>
      </c>
      <c r="L414" s="8">
        <v>0</v>
      </c>
      <c r="M414" s="8">
        <v>0</v>
      </c>
      <c r="N414" s="8">
        <v>0</v>
      </c>
      <c r="O414" s="8">
        <v>0</v>
      </c>
      <c r="P414" s="8">
        <v>0</v>
      </c>
      <c r="Q414" s="8">
        <v>0</v>
      </c>
      <c r="R414" s="8">
        <v>0</v>
      </c>
      <c r="S414" s="8">
        <v>0</v>
      </c>
      <c r="T414" s="8">
        <v>0</v>
      </c>
      <c r="U414" s="8">
        <v>0</v>
      </c>
      <c r="V414" s="8">
        <v>0</v>
      </c>
      <c r="W414" s="8">
        <v>0</v>
      </c>
      <c r="X414" s="8">
        <v>0</v>
      </c>
      <c r="Y414" s="8">
        <v>0</v>
      </c>
      <c r="Z414" s="8">
        <v>0</v>
      </c>
      <c r="AA414" s="8">
        <v>0</v>
      </c>
      <c r="AB414" s="8">
        <v>0</v>
      </c>
      <c r="AC414" s="8">
        <v>0</v>
      </c>
      <c r="AD414" s="8">
        <v>0</v>
      </c>
      <c r="AE414" s="8">
        <v>0</v>
      </c>
      <c r="AF414" s="8">
        <v>0</v>
      </c>
      <c r="AG414" s="8">
        <v>0</v>
      </c>
      <c r="AH414" s="8">
        <v>0</v>
      </c>
    </row>
    <row r="415" spans="2:34" ht="15" customHeight="1" x14ac:dyDescent="0.2">
      <c r="B415" s="1" t="s">
        <v>144</v>
      </c>
      <c r="D415" s="8">
        <f>SUM($E$415:$AH$415)</f>
        <v>4548762.57</v>
      </c>
      <c r="E415" s="8">
        <v>348</v>
      </c>
      <c r="F415" s="8">
        <v>109</v>
      </c>
      <c r="G415" s="8">
        <v>18</v>
      </c>
      <c r="H415" s="8">
        <v>55.33</v>
      </c>
      <c r="I415" s="8">
        <v>5</v>
      </c>
      <c r="J415" s="8">
        <v>0</v>
      </c>
      <c r="K415" s="8">
        <v>411750.58</v>
      </c>
      <c r="L415" s="8">
        <v>4973.17</v>
      </c>
      <c r="M415" s="8">
        <v>102958.33</v>
      </c>
      <c r="N415" s="8">
        <v>1764.25</v>
      </c>
      <c r="O415" s="8">
        <v>69.33</v>
      </c>
      <c r="P415" s="8">
        <v>7</v>
      </c>
      <c r="Q415" s="8">
        <v>984.25</v>
      </c>
      <c r="R415" s="8">
        <v>1217.42</v>
      </c>
      <c r="S415" s="8">
        <v>58.5</v>
      </c>
      <c r="T415" s="8">
        <v>23</v>
      </c>
      <c r="U415" s="8">
        <v>6435.5</v>
      </c>
      <c r="V415" s="8">
        <v>192.67</v>
      </c>
      <c r="W415" s="8">
        <v>4007113.83</v>
      </c>
      <c r="X415" s="8">
        <v>1273.33</v>
      </c>
      <c r="Y415" s="8">
        <v>196.58</v>
      </c>
      <c r="Z415" s="8">
        <v>9</v>
      </c>
      <c r="AA415" s="8">
        <v>8336.92</v>
      </c>
      <c r="AB415" s="8">
        <v>842.58</v>
      </c>
      <c r="AC415" s="8">
        <v>4</v>
      </c>
      <c r="AD415" s="8">
        <v>13</v>
      </c>
      <c r="AE415" s="8">
        <v>2</v>
      </c>
      <c r="AF415" s="8">
        <v>1</v>
      </c>
      <c r="AG415" s="8">
        <v>0</v>
      </c>
      <c r="AH415" s="8">
        <v>1</v>
      </c>
    </row>
    <row r="416" spans="2:34" ht="15" customHeight="1" x14ac:dyDescent="0.2"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  <c r="AE416" s="8"/>
      <c r="AF416" s="8"/>
      <c r="AG416" s="8"/>
      <c r="AH416" s="8"/>
    </row>
    <row r="417" spans="1:34" ht="15" customHeight="1" x14ac:dyDescent="0.2">
      <c r="B417" s="7" t="s">
        <v>144</v>
      </c>
      <c r="C417" s="7" t="s">
        <v>37</v>
      </c>
      <c r="D417" s="8"/>
      <c r="E417" s="8">
        <v>348</v>
      </c>
      <c r="F417" s="8">
        <v>109</v>
      </c>
      <c r="G417" s="8">
        <v>18</v>
      </c>
      <c r="H417" s="8">
        <v>55.33</v>
      </c>
      <c r="I417" s="8">
        <v>5</v>
      </c>
      <c r="J417" s="8">
        <v>0</v>
      </c>
      <c r="K417" s="8">
        <v>411750.58</v>
      </c>
      <c r="L417" s="8">
        <v>4973.17</v>
      </c>
      <c r="M417" s="8">
        <v>102958.33</v>
      </c>
      <c r="N417" s="8">
        <v>1764.25</v>
      </c>
      <c r="O417" s="8">
        <v>69.33</v>
      </c>
      <c r="P417" s="8">
        <v>7</v>
      </c>
      <c r="Q417" s="8">
        <v>984.25</v>
      </c>
      <c r="R417" s="8">
        <v>1217.42</v>
      </c>
      <c r="S417" s="8">
        <v>58.5</v>
      </c>
      <c r="T417" s="8">
        <v>23</v>
      </c>
      <c r="U417" s="8">
        <v>6435.5</v>
      </c>
      <c r="V417" s="8">
        <v>192.67</v>
      </c>
      <c r="W417" s="8">
        <v>4007113.83</v>
      </c>
      <c r="X417" s="8">
        <v>1273.33</v>
      </c>
      <c r="Y417" s="8">
        <v>196.58</v>
      </c>
      <c r="Z417" s="8">
        <v>9</v>
      </c>
      <c r="AA417" s="8">
        <v>8336.92</v>
      </c>
      <c r="AB417" s="8">
        <v>842.58</v>
      </c>
      <c r="AC417" s="8">
        <v>4</v>
      </c>
      <c r="AD417" s="8">
        <v>13</v>
      </c>
      <c r="AE417" s="8">
        <v>2</v>
      </c>
      <c r="AF417" s="8">
        <v>1</v>
      </c>
      <c r="AG417" s="8">
        <v>0</v>
      </c>
      <c r="AH417" s="8">
        <v>1</v>
      </c>
    </row>
    <row r="418" spans="1:34" ht="15" customHeight="1" x14ac:dyDescent="0.2">
      <c r="B418" s="7" t="s">
        <v>143</v>
      </c>
      <c r="C418" s="7" t="s">
        <v>42</v>
      </c>
      <c r="D418" s="8"/>
      <c r="E418" s="8">
        <v>61.828870779976718</v>
      </c>
      <c r="F418" s="8">
        <v>62.283178114086155</v>
      </c>
      <c r="G418" s="8">
        <v>295.34036670547152</v>
      </c>
      <c r="H418" s="8">
        <v>30.714343713620487</v>
      </c>
      <c r="I418" s="8">
        <v>46.201610884749712</v>
      </c>
      <c r="J418" s="8">
        <v>0</v>
      </c>
      <c r="K418" s="8">
        <v>1.5476251455180443</v>
      </c>
      <c r="L418" s="8">
        <v>0.88471332945285219</v>
      </c>
      <c r="M418" s="8">
        <v>6.0135302677532012</v>
      </c>
      <c r="N418" s="8">
        <v>20.129908323632129</v>
      </c>
      <c r="O418" s="8">
        <v>37.989332072176957</v>
      </c>
      <c r="P418" s="8">
        <v>84.311306752037254</v>
      </c>
      <c r="Q418" s="8">
        <v>13.641171420256111</v>
      </c>
      <c r="R418" s="8">
        <v>21.445493306169965</v>
      </c>
      <c r="S418" s="8">
        <v>36.246418800931316</v>
      </c>
      <c r="T418" s="8">
        <v>77.547494179278232</v>
      </c>
      <c r="U418" s="8">
        <v>1</v>
      </c>
      <c r="V418" s="8">
        <v>26.667211874272411</v>
      </c>
      <c r="W418" s="8">
        <v>1.0000145518044239</v>
      </c>
      <c r="X418" s="8">
        <v>9.8000261932479624</v>
      </c>
      <c r="Y418" s="8">
        <v>22.04523282887078</v>
      </c>
      <c r="Z418" s="8">
        <v>47.150523864959261</v>
      </c>
      <c r="AA418" s="8">
        <v>1</v>
      </c>
      <c r="AB418" s="8">
        <v>1</v>
      </c>
      <c r="AC418" s="8">
        <v>81.259604190919674</v>
      </c>
      <c r="AD418" s="8">
        <v>84.132889988358556</v>
      </c>
      <c r="AE418" s="8">
        <v>1703.6238431315483</v>
      </c>
      <c r="AF418" s="8">
        <v>84.311263096623975</v>
      </c>
      <c r="AG418" s="8">
        <v>1703.6238358556461</v>
      </c>
      <c r="AH418" s="8">
        <v>1703.6238358556461</v>
      </c>
    </row>
    <row r="419" spans="1:34" ht="15" customHeight="1" x14ac:dyDescent="0.2">
      <c r="B419" s="1" t="s">
        <v>150</v>
      </c>
      <c r="D419" s="8">
        <f>SUM($E$419:$AH$419)</f>
        <v>5430282.6963435542</v>
      </c>
      <c r="E419" s="8">
        <v>21516.447031431897</v>
      </c>
      <c r="F419" s="8">
        <v>6788.8664144353907</v>
      </c>
      <c r="G419" s="8">
        <v>5316.1266006984879</v>
      </c>
      <c r="H419" s="8">
        <v>1699.4246376746214</v>
      </c>
      <c r="I419" s="8">
        <v>231.00805442374855</v>
      </c>
      <c r="J419" s="8">
        <v>0</v>
      </c>
      <c r="K419" s="8">
        <v>637235.5512896392</v>
      </c>
      <c r="L419" s="8">
        <v>4399.829788635041</v>
      </c>
      <c r="M419" s="8">
        <v>619143.03377232247</v>
      </c>
      <c r="N419" s="8">
        <v>35514.190759967983</v>
      </c>
      <c r="O419" s="8">
        <v>2633.8003925640282</v>
      </c>
      <c r="P419" s="8">
        <v>590.17914726426079</v>
      </c>
      <c r="Q419" s="8">
        <v>13426.322970387077</v>
      </c>
      <c r="R419" s="8">
        <v>26108.172460797439</v>
      </c>
      <c r="S419" s="8">
        <v>2120.4154998544818</v>
      </c>
      <c r="T419" s="8">
        <v>1783.5923661233994</v>
      </c>
      <c r="U419" s="8">
        <v>6435.5</v>
      </c>
      <c r="V419" s="8">
        <v>5137.9717118160652</v>
      </c>
      <c r="W419" s="8">
        <v>4007172.1407367587</v>
      </c>
      <c r="X419" s="8">
        <v>12478.667352648426</v>
      </c>
      <c r="Y419" s="8">
        <v>4333.6518694994184</v>
      </c>
      <c r="Z419" s="8">
        <v>424.35471478463336</v>
      </c>
      <c r="AA419" s="8">
        <v>8336.92</v>
      </c>
      <c r="AB419" s="8">
        <v>842.58</v>
      </c>
      <c r="AC419" s="8">
        <v>325.0384167636787</v>
      </c>
      <c r="AD419" s="8">
        <v>1093.7275698486612</v>
      </c>
      <c r="AE419" s="8">
        <v>3407.2476862630965</v>
      </c>
      <c r="AF419" s="8">
        <v>84.311263096623975</v>
      </c>
      <c r="AG419" s="8">
        <v>0</v>
      </c>
      <c r="AH419" s="8">
        <v>1703.6238358556461</v>
      </c>
    </row>
    <row r="420" spans="1:34" ht="15" customHeight="1" x14ac:dyDescent="0.2"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8"/>
      <c r="AD420" s="8"/>
      <c r="AE420" s="8"/>
      <c r="AF420" s="8"/>
      <c r="AG420" s="8"/>
      <c r="AH420" s="8"/>
    </row>
    <row r="421" spans="1:34" ht="15" customHeight="1" x14ac:dyDescent="0.2"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  <c r="AG421" s="8"/>
      <c r="AH421" s="8"/>
    </row>
    <row r="422" spans="1:34" ht="15" customHeight="1" x14ac:dyDescent="0.2"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  <c r="AD422" s="8"/>
      <c r="AE422" s="8"/>
      <c r="AF422" s="8"/>
      <c r="AG422" s="8"/>
      <c r="AH422" s="8"/>
    </row>
    <row r="423" spans="1:34" ht="15" customHeight="1" x14ac:dyDescent="0.2"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  <c r="AG423" s="8"/>
      <c r="AH423" s="8"/>
    </row>
    <row r="424" spans="1:34" ht="15" customHeight="1" x14ac:dyDescent="0.2">
      <c r="A424" s="1" t="s">
        <v>151</v>
      </c>
      <c r="B424" s="7" t="s">
        <v>129</v>
      </c>
      <c r="C424" s="7" t="s">
        <v>37</v>
      </c>
      <c r="D424" s="8"/>
      <c r="E424" s="8">
        <v>348</v>
      </c>
      <c r="F424" s="8">
        <v>109</v>
      </c>
      <c r="G424" s="8">
        <v>18</v>
      </c>
      <c r="H424" s="8">
        <v>55.33</v>
      </c>
      <c r="I424" s="8">
        <v>5</v>
      </c>
      <c r="J424" s="8">
        <v>0</v>
      </c>
      <c r="K424" s="8">
        <v>411750.58</v>
      </c>
      <c r="L424" s="8">
        <v>4973.17</v>
      </c>
      <c r="M424" s="8">
        <v>102958.33</v>
      </c>
      <c r="N424" s="8">
        <v>1764.25</v>
      </c>
      <c r="O424" s="8">
        <v>69.33</v>
      </c>
      <c r="P424" s="8">
        <v>7</v>
      </c>
      <c r="Q424" s="8">
        <v>984.25</v>
      </c>
      <c r="R424" s="8">
        <v>1217.42</v>
      </c>
      <c r="S424" s="8">
        <v>58.5</v>
      </c>
      <c r="T424" s="8">
        <v>23</v>
      </c>
      <c r="U424" s="8">
        <v>6435.5</v>
      </c>
      <c r="V424" s="8">
        <v>192.67</v>
      </c>
      <c r="W424" s="8">
        <v>4007113.83</v>
      </c>
      <c r="X424" s="8">
        <v>1273.33</v>
      </c>
      <c r="Y424" s="8">
        <v>196.58</v>
      </c>
      <c r="Z424" s="8">
        <v>9</v>
      </c>
      <c r="AA424" s="8">
        <v>8336.92</v>
      </c>
      <c r="AB424" s="8">
        <v>842.58</v>
      </c>
      <c r="AC424" s="8">
        <v>4</v>
      </c>
      <c r="AD424" s="8">
        <v>13</v>
      </c>
      <c r="AE424" s="8"/>
      <c r="AF424" s="8"/>
      <c r="AG424" s="8"/>
      <c r="AH424" s="8"/>
    </row>
    <row r="425" spans="1:34" ht="15" customHeight="1" x14ac:dyDescent="0.2">
      <c r="B425" s="7" t="s">
        <v>130</v>
      </c>
      <c r="C425" s="7" t="s">
        <v>37</v>
      </c>
      <c r="D425" s="8"/>
      <c r="E425" s="8">
        <v>0</v>
      </c>
      <c r="F425" s="8">
        <v>0</v>
      </c>
      <c r="G425" s="8">
        <v>0</v>
      </c>
      <c r="H425" s="8">
        <v>0</v>
      </c>
      <c r="I425" s="8">
        <v>0</v>
      </c>
      <c r="J425" s="8">
        <v>0</v>
      </c>
      <c r="K425" s="8">
        <v>0</v>
      </c>
      <c r="L425" s="8">
        <v>0</v>
      </c>
      <c r="M425" s="8">
        <v>0</v>
      </c>
      <c r="N425" s="8">
        <v>0</v>
      </c>
      <c r="O425" s="8">
        <v>0</v>
      </c>
      <c r="P425" s="8">
        <v>0</v>
      </c>
      <c r="Q425" s="8">
        <v>0</v>
      </c>
      <c r="R425" s="8">
        <v>0</v>
      </c>
      <c r="S425" s="8">
        <v>0</v>
      </c>
      <c r="T425" s="8">
        <v>0</v>
      </c>
      <c r="U425" s="8">
        <v>0</v>
      </c>
      <c r="V425" s="8">
        <v>0</v>
      </c>
      <c r="W425" s="8">
        <v>0</v>
      </c>
      <c r="X425" s="8">
        <v>0</v>
      </c>
      <c r="Y425" s="8">
        <v>0</v>
      </c>
      <c r="Z425" s="8">
        <v>0</v>
      </c>
      <c r="AA425" s="8">
        <v>0</v>
      </c>
      <c r="AB425" s="8">
        <v>0</v>
      </c>
      <c r="AC425" s="8">
        <v>0</v>
      </c>
      <c r="AD425" s="8">
        <v>0</v>
      </c>
      <c r="AE425" s="8"/>
      <c r="AF425" s="8"/>
      <c r="AG425" s="8"/>
      <c r="AH425" s="8"/>
    </row>
    <row r="426" spans="1:34" ht="15" customHeight="1" x14ac:dyDescent="0.2">
      <c r="B426" s="1" t="s">
        <v>144</v>
      </c>
      <c r="D426" s="8">
        <f>SUM($E$426:$AH$426)</f>
        <v>4548758.57</v>
      </c>
      <c r="E426" s="8">
        <v>348</v>
      </c>
      <c r="F426" s="8">
        <v>109</v>
      </c>
      <c r="G426" s="8">
        <v>18</v>
      </c>
      <c r="H426" s="8">
        <v>55.33</v>
      </c>
      <c r="I426" s="8">
        <v>5</v>
      </c>
      <c r="J426" s="8">
        <v>0</v>
      </c>
      <c r="K426" s="8">
        <v>411750.58</v>
      </c>
      <c r="L426" s="8">
        <v>4973.17</v>
      </c>
      <c r="M426" s="8">
        <v>102958.33</v>
      </c>
      <c r="N426" s="8">
        <v>1764.25</v>
      </c>
      <c r="O426" s="8">
        <v>69.33</v>
      </c>
      <c r="P426" s="8">
        <v>7</v>
      </c>
      <c r="Q426" s="8">
        <v>984.25</v>
      </c>
      <c r="R426" s="8">
        <v>1217.42</v>
      </c>
      <c r="S426" s="8">
        <v>58.5</v>
      </c>
      <c r="T426" s="8">
        <v>23</v>
      </c>
      <c r="U426" s="8">
        <v>6435.5</v>
      </c>
      <c r="V426" s="8">
        <v>192.67</v>
      </c>
      <c r="W426" s="8">
        <v>4007113.83</v>
      </c>
      <c r="X426" s="8">
        <v>1273.33</v>
      </c>
      <c r="Y426" s="8">
        <v>196.58</v>
      </c>
      <c r="Z426" s="8">
        <v>9</v>
      </c>
      <c r="AA426" s="8">
        <v>8336.92</v>
      </c>
      <c r="AB426" s="8">
        <v>842.58</v>
      </c>
      <c r="AC426" s="8">
        <v>4</v>
      </c>
      <c r="AD426" s="8">
        <v>13</v>
      </c>
      <c r="AE426" s="8"/>
      <c r="AF426" s="8"/>
      <c r="AG426" s="8"/>
      <c r="AH426" s="8"/>
    </row>
    <row r="427" spans="1:34" ht="15" customHeight="1" x14ac:dyDescent="0.2"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8"/>
      <c r="AF427" s="8"/>
      <c r="AG427" s="8"/>
      <c r="AH427" s="8"/>
    </row>
    <row r="428" spans="1:34" ht="15" customHeight="1" x14ac:dyDescent="0.2"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/>
      <c r="AD428" s="8"/>
      <c r="AE428" s="8"/>
      <c r="AF428" s="8"/>
      <c r="AG428" s="8"/>
      <c r="AH428" s="8"/>
    </row>
    <row r="429" spans="1:34" ht="15" customHeight="1" x14ac:dyDescent="0.2"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8"/>
      <c r="AG429" s="8"/>
      <c r="AH429" s="8"/>
    </row>
    <row r="430" spans="1:34" ht="15" customHeight="1" x14ac:dyDescent="0.2"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  <c r="AD430" s="8"/>
      <c r="AE430" s="8"/>
      <c r="AF430" s="8"/>
      <c r="AG430" s="8"/>
      <c r="AH430" s="8"/>
    </row>
    <row r="431" spans="1:34" ht="15" customHeight="1" x14ac:dyDescent="0.2">
      <c r="A431" s="1" t="s">
        <v>153</v>
      </c>
      <c r="B431" s="7" t="s">
        <v>59</v>
      </c>
      <c r="C431" s="7" t="s">
        <v>37</v>
      </c>
      <c r="D431" s="8"/>
      <c r="E431" s="8">
        <v>1</v>
      </c>
      <c r="F431" s="8">
        <v>1</v>
      </c>
      <c r="G431" s="8">
        <v>1</v>
      </c>
      <c r="H431" s="8">
        <v>1</v>
      </c>
      <c r="I431" s="8">
        <v>1</v>
      </c>
      <c r="J431" s="8">
        <v>1</v>
      </c>
      <c r="K431" s="8">
        <v>1</v>
      </c>
      <c r="L431" s="8">
        <v>1</v>
      </c>
      <c r="M431" s="8">
        <v>1</v>
      </c>
      <c r="N431" s="8">
        <v>1</v>
      </c>
      <c r="O431" s="8">
        <v>1</v>
      </c>
      <c r="P431" s="8">
        <v>1</v>
      </c>
      <c r="Q431" s="8">
        <v>1</v>
      </c>
      <c r="R431" s="8">
        <v>1</v>
      </c>
      <c r="S431" s="8">
        <v>1</v>
      </c>
      <c r="T431" s="8">
        <v>1</v>
      </c>
      <c r="U431" s="8">
        <v>1</v>
      </c>
      <c r="V431" s="8">
        <v>1</v>
      </c>
      <c r="W431" s="8">
        <v>1</v>
      </c>
      <c r="X431" s="8">
        <v>1</v>
      </c>
      <c r="Y431" s="8">
        <v>1</v>
      </c>
      <c r="Z431" s="8">
        <v>1</v>
      </c>
      <c r="AA431" s="8">
        <v>1</v>
      </c>
      <c r="AB431" s="8">
        <v>1</v>
      </c>
      <c r="AC431" s="8">
        <v>1</v>
      </c>
      <c r="AD431" s="8">
        <v>1</v>
      </c>
      <c r="AE431" s="8"/>
      <c r="AF431" s="8"/>
      <c r="AG431" s="8"/>
      <c r="AH431" s="8"/>
    </row>
    <row r="432" spans="1:34" ht="15" customHeight="1" x14ac:dyDescent="0.2">
      <c r="B432" s="1" t="s">
        <v>154</v>
      </c>
      <c r="D432" s="8">
        <f>SUM($E$432:$AH$432)</f>
        <v>26</v>
      </c>
      <c r="E432" s="8">
        <v>1</v>
      </c>
      <c r="F432" s="8">
        <v>1</v>
      </c>
      <c r="G432" s="8">
        <v>1</v>
      </c>
      <c r="H432" s="8">
        <v>1</v>
      </c>
      <c r="I432" s="8">
        <v>1</v>
      </c>
      <c r="J432" s="8">
        <v>1</v>
      </c>
      <c r="K432" s="8">
        <v>1</v>
      </c>
      <c r="L432" s="8">
        <v>1</v>
      </c>
      <c r="M432" s="8">
        <v>1</v>
      </c>
      <c r="N432" s="8">
        <v>1</v>
      </c>
      <c r="O432" s="8">
        <v>1</v>
      </c>
      <c r="P432" s="8">
        <v>1</v>
      </c>
      <c r="Q432" s="8">
        <v>1</v>
      </c>
      <c r="R432" s="8">
        <v>1</v>
      </c>
      <c r="S432" s="8">
        <v>1</v>
      </c>
      <c r="T432" s="8">
        <v>1</v>
      </c>
      <c r="U432" s="8">
        <v>1</v>
      </c>
      <c r="V432" s="8">
        <v>1</v>
      </c>
      <c r="W432" s="8">
        <v>1</v>
      </c>
      <c r="X432" s="8">
        <v>1</v>
      </c>
      <c r="Y432" s="8">
        <v>1</v>
      </c>
      <c r="Z432" s="8">
        <v>1</v>
      </c>
      <c r="AA432" s="8">
        <v>1</v>
      </c>
      <c r="AB432" s="8">
        <v>1</v>
      </c>
      <c r="AC432" s="8">
        <v>1</v>
      </c>
      <c r="AD432" s="8">
        <v>1</v>
      </c>
      <c r="AE432" s="8"/>
      <c r="AF432" s="8"/>
      <c r="AG432" s="8"/>
      <c r="AH432" s="8"/>
    </row>
    <row r="433" spans="1:34" ht="15" customHeight="1" x14ac:dyDescent="0.2"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8"/>
      <c r="AF433" s="8"/>
      <c r="AG433" s="8"/>
      <c r="AH433" s="8"/>
    </row>
    <row r="434" spans="1:34" ht="15" customHeight="1" x14ac:dyDescent="0.2"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  <c r="AF434" s="8"/>
      <c r="AG434" s="8"/>
      <c r="AH434" s="8"/>
    </row>
    <row r="435" spans="1:34" ht="15" customHeight="1" x14ac:dyDescent="0.2"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8"/>
      <c r="AF435" s="8"/>
      <c r="AG435" s="8"/>
      <c r="AH435" s="8"/>
    </row>
    <row r="436" spans="1:34" ht="15" customHeight="1" x14ac:dyDescent="0.2"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8"/>
      <c r="AG436" s="8"/>
      <c r="AH436" s="8"/>
    </row>
    <row r="437" spans="1:34" ht="15" customHeight="1" x14ac:dyDescent="0.2">
      <c r="A437" s="1" t="s">
        <v>155</v>
      </c>
      <c r="B437" s="7" t="s">
        <v>156</v>
      </c>
      <c r="C437" s="7" t="s">
        <v>37</v>
      </c>
      <c r="D437" s="8"/>
      <c r="E437" s="8">
        <v>0</v>
      </c>
      <c r="F437" s="8">
        <v>0</v>
      </c>
      <c r="G437" s="8">
        <v>0</v>
      </c>
      <c r="H437" s="8">
        <v>0</v>
      </c>
      <c r="I437" s="8">
        <v>0</v>
      </c>
      <c r="J437" s="8">
        <v>0</v>
      </c>
      <c r="K437" s="8">
        <v>0</v>
      </c>
      <c r="L437" s="8">
        <v>0</v>
      </c>
      <c r="M437" s="8">
        <v>0</v>
      </c>
      <c r="N437" s="8">
        <v>0</v>
      </c>
      <c r="O437" s="8">
        <v>0</v>
      </c>
      <c r="P437" s="8">
        <v>0</v>
      </c>
      <c r="Q437" s="8">
        <v>0</v>
      </c>
      <c r="R437" s="8">
        <v>0</v>
      </c>
      <c r="S437" s="8">
        <v>0</v>
      </c>
      <c r="T437" s="8">
        <v>0</v>
      </c>
      <c r="U437" s="8">
        <v>0</v>
      </c>
      <c r="V437" s="8">
        <v>0</v>
      </c>
      <c r="W437" s="8">
        <v>0</v>
      </c>
      <c r="X437" s="8">
        <v>0</v>
      </c>
      <c r="Y437" s="8">
        <v>0</v>
      </c>
      <c r="Z437" s="8">
        <v>0</v>
      </c>
      <c r="AA437" s="8">
        <v>0</v>
      </c>
      <c r="AB437" s="8">
        <v>0</v>
      </c>
      <c r="AC437" s="8">
        <v>0</v>
      </c>
      <c r="AD437" s="8">
        <v>0</v>
      </c>
      <c r="AE437" s="8">
        <v>0</v>
      </c>
      <c r="AF437" s="8">
        <v>0</v>
      </c>
      <c r="AG437" s="8">
        <v>0</v>
      </c>
      <c r="AH437" s="8">
        <v>0</v>
      </c>
    </row>
    <row r="438" spans="1:34" ht="15" customHeight="1" x14ac:dyDescent="0.2">
      <c r="B438" s="1" t="s">
        <v>157</v>
      </c>
      <c r="D438" s="8">
        <f>SUM($E$438:$AH$438)</f>
        <v>0</v>
      </c>
      <c r="E438" s="8">
        <v>0</v>
      </c>
      <c r="F438" s="8">
        <v>0</v>
      </c>
      <c r="G438" s="8">
        <v>0</v>
      </c>
      <c r="H438" s="8">
        <v>0</v>
      </c>
      <c r="I438" s="8">
        <v>0</v>
      </c>
      <c r="J438" s="8">
        <v>0</v>
      </c>
      <c r="K438" s="8">
        <v>0</v>
      </c>
      <c r="L438" s="8">
        <v>0</v>
      </c>
      <c r="M438" s="8">
        <v>0</v>
      </c>
      <c r="N438" s="8">
        <v>0</v>
      </c>
      <c r="O438" s="8">
        <v>0</v>
      </c>
      <c r="P438" s="8">
        <v>0</v>
      </c>
      <c r="Q438" s="8">
        <v>0</v>
      </c>
      <c r="R438" s="8">
        <v>0</v>
      </c>
      <c r="S438" s="8">
        <v>0</v>
      </c>
      <c r="T438" s="8">
        <v>0</v>
      </c>
      <c r="U438" s="8">
        <v>0</v>
      </c>
      <c r="V438" s="8">
        <v>0</v>
      </c>
      <c r="W438" s="8">
        <v>0</v>
      </c>
      <c r="X438" s="8">
        <v>0</v>
      </c>
      <c r="Y438" s="8">
        <v>0</v>
      </c>
      <c r="Z438" s="8">
        <v>0</v>
      </c>
      <c r="AA438" s="8">
        <v>0</v>
      </c>
      <c r="AB438" s="8">
        <v>0</v>
      </c>
      <c r="AC438" s="8">
        <v>0</v>
      </c>
      <c r="AD438" s="8">
        <v>0</v>
      </c>
      <c r="AE438" s="8">
        <v>0</v>
      </c>
      <c r="AF438" s="8">
        <v>0</v>
      </c>
      <c r="AG438" s="8">
        <v>0</v>
      </c>
      <c r="AH438" s="8">
        <v>0</v>
      </c>
    </row>
    <row r="439" spans="1:34" ht="15" customHeight="1" x14ac:dyDescent="0.2"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8"/>
      <c r="AD439" s="8"/>
      <c r="AE439" s="8"/>
      <c r="AF439" s="8"/>
      <c r="AG439" s="8"/>
      <c r="AH439" s="8"/>
    </row>
    <row r="440" spans="1:34" ht="15" customHeight="1" x14ac:dyDescent="0.2"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  <c r="AC440" s="8"/>
      <c r="AD440" s="8"/>
      <c r="AE440" s="8"/>
      <c r="AF440" s="8"/>
      <c r="AG440" s="8"/>
      <c r="AH440" s="8"/>
    </row>
    <row r="441" spans="1:34" ht="15" customHeight="1" x14ac:dyDescent="0.2"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  <c r="AD441" s="8"/>
      <c r="AE441" s="8"/>
      <c r="AF441" s="8"/>
      <c r="AG441" s="8"/>
      <c r="AH441" s="8"/>
    </row>
    <row r="442" spans="1:34" ht="15" customHeight="1" x14ac:dyDescent="0.2"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  <c r="AF442" s="8"/>
      <c r="AG442" s="8"/>
      <c r="AH442" s="8"/>
    </row>
    <row r="443" spans="1:34" ht="15" customHeight="1" x14ac:dyDescent="0.2">
      <c r="A443" s="1" t="s">
        <v>158</v>
      </c>
      <c r="B443" s="7" t="s">
        <v>152</v>
      </c>
      <c r="C443" s="7" t="s">
        <v>37</v>
      </c>
      <c r="D443" s="8"/>
      <c r="E443" s="8">
        <v>0</v>
      </c>
      <c r="F443" s="8">
        <v>0</v>
      </c>
      <c r="G443" s="8">
        <v>0</v>
      </c>
      <c r="H443" s="8">
        <v>0</v>
      </c>
      <c r="I443" s="8">
        <v>0</v>
      </c>
      <c r="J443" s="8">
        <v>0</v>
      </c>
      <c r="K443" s="8">
        <v>0</v>
      </c>
      <c r="L443" s="8">
        <v>0</v>
      </c>
      <c r="M443" s="8">
        <v>0</v>
      </c>
      <c r="N443" s="8">
        <v>0</v>
      </c>
      <c r="O443" s="8">
        <v>0</v>
      </c>
      <c r="P443" s="8">
        <v>0</v>
      </c>
      <c r="Q443" s="8">
        <v>0</v>
      </c>
      <c r="R443" s="8">
        <v>0</v>
      </c>
      <c r="S443" s="8">
        <v>0</v>
      </c>
      <c r="T443" s="8">
        <v>0</v>
      </c>
      <c r="U443" s="8">
        <v>0</v>
      </c>
      <c r="V443" s="8">
        <v>0</v>
      </c>
      <c r="W443" s="8">
        <v>0</v>
      </c>
      <c r="X443" s="8">
        <v>0</v>
      </c>
      <c r="Y443" s="8">
        <v>0</v>
      </c>
      <c r="Z443" s="8">
        <v>0</v>
      </c>
      <c r="AA443" s="8">
        <v>0</v>
      </c>
      <c r="AB443" s="8">
        <v>0</v>
      </c>
      <c r="AC443" s="8">
        <v>0</v>
      </c>
      <c r="AD443" s="8">
        <v>0</v>
      </c>
      <c r="AE443" s="8">
        <v>0</v>
      </c>
      <c r="AF443" s="8">
        <v>0</v>
      </c>
      <c r="AG443" s="8">
        <v>0</v>
      </c>
      <c r="AH443" s="8">
        <v>0</v>
      </c>
    </row>
    <row r="444" spans="1:34" ht="15" customHeight="1" x14ac:dyDescent="0.2">
      <c r="B444" s="1" t="s">
        <v>159</v>
      </c>
      <c r="D444" s="8">
        <f>SUM($E$444:$AH$444)</f>
        <v>0</v>
      </c>
      <c r="E444" s="8">
        <v>0</v>
      </c>
      <c r="F444" s="8">
        <v>0</v>
      </c>
      <c r="G444" s="8">
        <v>0</v>
      </c>
      <c r="H444" s="8">
        <v>0</v>
      </c>
      <c r="I444" s="8">
        <v>0</v>
      </c>
      <c r="J444" s="8">
        <v>0</v>
      </c>
      <c r="K444" s="8">
        <v>0</v>
      </c>
      <c r="L444" s="8">
        <v>0</v>
      </c>
      <c r="M444" s="8">
        <v>0</v>
      </c>
      <c r="N444" s="8">
        <v>0</v>
      </c>
      <c r="O444" s="8">
        <v>0</v>
      </c>
      <c r="P444" s="8">
        <v>0</v>
      </c>
      <c r="Q444" s="8">
        <v>0</v>
      </c>
      <c r="R444" s="8">
        <v>0</v>
      </c>
      <c r="S444" s="8">
        <v>0</v>
      </c>
      <c r="T444" s="8">
        <v>0</v>
      </c>
      <c r="U444" s="8">
        <v>0</v>
      </c>
      <c r="V444" s="8">
        <v>0</v>
      </c>
      <c r="W444" s="8">
        <v>0</v>
      </c>
      <c r="X444" s="8">
        <v>0</v>
      </c>
      <c r="Y444" s="8">
        <v>0</v>
      </c>
      <c r="Z444" s="8">
        <v>0</v>
      </c>
      <c r="AA444" s="8">
        <v>0</v>
      </c>
      <c r="AB444" s="8">
        <v>0</v>
      </c>
      <c r="AC444" s="8">
        <v>0</v>
      </c>
      <c r="AD444" s="8">
        <v>0</v>
      </c>
      <c r="AE444" s="8">
        <v>0</v>
      </c>
      <c r="AF444" s="8">
        <v>0</v>
      </c>
      <c r="AG444" s="8">
        <v>0</v>
      </c>
      <c r="AH444" s="8">
        <v>0</v>
      </c>
    </row>
    <row r="445" spans="1:34" ht="15" customHeight="1" x14ac:dyDescent="0.2"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/>
      <c r="AD445" s="8"/>
      <c r="AE445" s="8"/>
      <c r="AF445" s="8"/>
      <c r="AG445" s="8"/>
      <c r="AH445" s="8"/>
    </row>
    <row r="446" spans="1:34" ht="15" customHeight="1" x14ac:dyDescent="0.2"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  <c r="AF446" s="8"/>
      <c r="AG446" s="8"/>
      <c r="AH446" s="8"/>
    </row>
    <row r="447" spans="1:34" ht="15" customHeight="1" x14ac:dyDescent="0.2"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8"/>
      <c r="AF447" s="8"/>
      <c r="AG447" s="8"/>
      <c r="AH447" s="8"/>
    </row>
    <row r="448" spans="1:34" ht="15" customHeight="1" x14ac:dyDescent="0.2"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  <c r="AC448" s="8"/>
      <c r="AD448" s="8"/>
      <c r="AE448" s="8"/>
      <c r="AF448" s="8"/>
      <c r="AG448" s="8"/>
      <c r="AH448" s="8"/>
    </row>
    <row r="449" spans="1:34" ht="15" customHeight="1" x14ac:dyDescent="0.2">
      <c r="A449" s="1" t="s">
        <v>160</v>
      </c>
      <c r="B449" s="7" t="s">
        <v>152</v>
      </c>
      <c r="C449" s="7" t="s">
        <v>37</v>
      </c>
      <c r="D449" s="8"/>
      <c r="E449" s="8">
        <v>0</v>
      </c>
      <c r="F449" s="8">
        <v>0</v>
      </c>
      <c r="G449" s="8">
        <v>0</v>
      </c>
      <c r="H449" s="8">
        <v>0</v>
      </c>
      <c r="I449" s="8">
        <v>0</v>
      </c>
      <c r="J449" s="8">
        <v>0</v>
      </c>
      <c r="K449" s="8">
        <v>0</v>
      </c>
      <c r="L449" s="8">
        <v>0</v>
      </c>
      <c r="M449" s="8">
        <v>0</v>
      </c>
      <c r="N449" s="8">
        <v>0</v>
      </c>
      <c r="O449" s="8">
        <v>0</v>
      </c>
      <c r="P449" s="8">
        <v>0</v>
      </c>
      <c r="Q449" s="8">
        <v>0</v>
      </c>
      <c r="R449" s="8">
        <v>0</v>
      </c>
      <c r="S449" s="8">
        <v>0</v>
      </c>
      <c r="T449" s="8">
        <v>0</v>
      </c>
      <c r="U449" s="8">
        <v>0</v>
      </c>
      <c r="V449" s="8">
        <v>0</v>
      </c>
      <c r="W449" s="8">
        <v>0</v>
      </c>
      <c r="X449" s="8">
        <v>0</v>
      </c>
      <c r="Y449" s="8">
        <v>0</v>
      </c>
      <c r="Z449" s="8">
        <v>0</v>
      </c>
      <c r="AA449" s="8">
        <v>0</v>
      </c>
      <c r="AB449" s="8">
        <v>0</v>
      </c>
      <c r="AC449" s="8">
        <v>0</v>
      </c>
      <c r="AD449" s="8">
        <v>0</v>
      </c>
      <c r="AE449" s="8">
        <v>0</v>
      </c>
      <c r="AF449" s="8">
        <v>0</v>
      </c>
      <c r="AG449" s="8">
        <v>0</v>
      </c>
      <c r="AH449" s="8">
        <v>0</v>
      </c>
    </row>
    <row r="450" spans="1:34" ht="15" customHeight="1" x14ac:dyDescent="0.2">
      <c r="B450" s="1" t="s">
        <v>161</v>
      </c>
      <c r="D450" s="8">
        <f>SUM($E$450:$AH$450)</f>
        <v>0</v>
      </c>
      <c r="E450" s="8">
        <v>0</v>
      </c>
      <c r="F450" s="8">
        <v>0</v>
      </c>
      <c r="G450" s="8">
        <v>0</v>
      </c>
      <c r="H450" s="8">
        <v>0</v>
      </c>
      <c r="I450" s="8">
        <v>0</v>
      </c>
      <c r="J450" s="8">
        <v>0</v>
      </c>
      <c r="K450" s="8">
        <v>0</v>
      </c>
      <c r="L450" s="8">
        <v>0</v>
      </c>
      <c r="M450" s="8">
        <v>0</v>
      </c>
      <c r="N450" s="8">
        <v>0</v>
      </c>
      <c r="O450" s="8">
        <v>0</v>
      </c>
      <c r="P450" s="8">
        <v>0</v>
      </c>
      <c r="Q450" s="8">
        <v>0</v>
      </c>
      <c r="R450" s="8">
        <v>0</v>
      </c>
      <c r="S450" s="8">
        <v>0</v>
      </c>
      <c r="T450" s="8">
        <v>0</v>
      </c>
      <c r="U450" s="8">
        <v>0</v>
      </c>
      <c r="V450" s="8">
        <v>0</v>
      </c>
      <c r="W450" s="8">
        <v>0</v>
      </c>
      <c r="X450" s="8">
        <v>0</v>
      </c>
      <c r="Y450" s="8">
        <v>0</v>
      </c>
      <c r="Z450" s="8">
        <v>0</v>
      </c>
      <c r="AA450" s="8">
        <v>0</v>
      </c>
      <c r="AB450" s="8">
        <v>0</v>
      </c>
      <c r="AC450" s="8">
        <v>0</v>
      </c>
      <c r="AD450" s="8">
        <v>0</v>
      </c>
      <c r="AE450" s="8">
        <v>0</v>
      </c>
      <c r="AF450" s="8">
        <v>0</v>
      </c>
      <c r="AG450" s="8">
        <v>0</v>
      </c>
      <c r="AH450" s="8">
        <v>0</v>
      </c>
    </row>
    <row r="451" spans="1:34" ht="15" customHeight="1" x14ac:dyDescent="0.2"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8"/>
      <c r="AF451" s="8"/>
      <c r="AG451" s="8"/>
      <c r="AH451" s="8"/>
    </row>
    <row r="452" spans="1:34" ht="15" customHeight="1" x14ac:dyDescent="0.2"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  <c r="AC452" s="8"/>
      <c r="AD452" s="8"/>
      <c r="AE452" s="8"/>
      <c r="AF452" s="8"/>
      <c r="AG452" s="8"/>
      <c r="AH452" s="8"/>
    </row>
    <row r="453" spans="1:34" ht="15" customHeight="1" x14ac:dyDescent="0.2"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8"/>
      <c r="AD453" s="8"/>
      <c r="AE453" s="8"/>
      <c r="AF453" s="8"/>
      <c r="AG453" s="8"/>
      <c r="AH453" s="8"/>
    </row>
    <row r="454" spans="1:34" ht="15" customHeight="1" x14ac:dyDescent="0.2"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  <c r="AC454" s="8"/>
      <c r="AD454" s="8"/>
      <c r="AE454" s="8"/>
      <c r="AF454" s="8"/>
      <c r="AG454" s="8"/>
      <c r="AH454" s="8"/>
    </row>
    <row r="455" spans="1:34" ht="15" customHeight="1" x14ac:dyDescent="0.2">
      <c r="A455" s="1" t="s">
        <v>162</v>
      </c>
      <c r="B455" s="7" t="s">
        <v>163</v>
      </c>
      <c r="C455" s="7" t="s">
        <v>37</v>
      </c>
      <c r="D455" s="8"/>
      <c r="E455" s="8">
        <v>0</v>
      </c>
      <c r="F455" s="8">
        <v>0</v>
      </c>
      <c r="G455" s="8">
        <v>0</v>
      </c>
      <c r="H455" s="8">
        <v>0</v>
      </c>
      <c r="I455" s="8">
        <v>0</v>
      </c>
      <c r="J455" s="8">
        <v>0</v>
      </c>
      <c r="K455" s="8">
        <v>0</v>
      </c>
      <c r="L455" s="8">
        <v>0</v>
      </c>
      <c r="M455" s="8">
        <v>0</v>
      </c>
      <c r="N455" s="8">
        <v>0</v>
      </c>
      <c r="O455" s="8">
        <v>0</v>
      </c>
      <c r="P455" s="8">
        <v>0</v>
      </c>
      <c r="Q455" s="8">
        <v>0</v>
      </c>
      <c r="R455" s="8">
        <v>0</v>
      </c>
      <c r="S455" s="8">
        <v>0</v>
      </c>
      <c r="T455" s="8">
        <v>0</v>
      </c>
      <c r="U455" s="8">
        <v>0</v>
      </c>
      <c r="V455" s="8">
        <v>0</v>
      </c>
      <c r="W455" s="8">
        <v>0</v>
      </c>
      <c r="X455" s="8">
        <v>0</v>
      </c>
      <c r="Y455" s="8">
        <v>0</v>
      </c>
      <c r="Z455" s="8">
        <v>0</v>
      </c>
      <c r="AA455" s="8">
        <v>7658865.6600000001</v>
      </c>
      <c r="AB455" s="8">
        <v>1649.88</v>
      </c>
      <c r="AC455" s="8">
        <v>0</v>
      </c>
      <c r="AD455" s="8">
        <v>0</v>
      </c>
      <c r="AE455" s="8">
        <v>0</v>
      </c>
      <c r="AF455" s="8">
        <v>0</v>
      </c>
      <c r="AG455" s="8">
        <v>0</v>
      </c>
      <c r="AH455" s="8">
        <v>0</v>
      </c>
    </row>
    <row r="456" spans="1:34" ht="15" customHeight="1" x14ac:dyDescent="0.2">
      <c r="B456" s="1" t="s">
        <v>164</v>
      </c>
      <c r="D456" s="8">
        <f>SUM($E$456:$AH$456)</f>
        <v>7660515.54</v>
      </c>
      <c r="E456" s="8">
        <v>0</v>
      </c>
      <c r="F456" s="8">
        <v>0</v>
      </c>
      <c r="G456" s="8">
        <v>0</v>
      </c>
      <c r="H456" s="8">
        <v>0</v>
      </c>
      <c r="I456" s="8">
        <v>0</v>
      </c>
      <c r="J456" s="8">
        <v>0</v>
      </c>
      <c r="K456" s="8">
        <v>0</v>
      </c>
      <c r="L456" s="8">
        <v>0</v>
      </c>
      <c r="M456" s="8">
        <v>0</v>
      </c>
      <c r="N456" s="8">
        <v>0</v>
      </c>
      <c r="O456" s="8">
        <v>0</v>
      </c>
      <c r="P456" s="8">
        <v>0</v>
      </c>
      <c r="Q456" s="8">
        <v>0</v>
      </c>
      <c r="R456" s="8">
        <v>0</v>
      </c>
      <c r="S456" s="8">
        <v>0</v>
      </c>
      <c r="T456" s="8">
        <v>0</v>
      </c>
      <c r="U456" s="8">
        <v>0</v>
      </c>
      <c r="V456" s="8">
        <v>0</v>
      </c>
      <c r="W456" s="8">
        <v>0</v>
      </c>
      <c r="X456" s="8">
        <v>0</v>
      </c>
      <c r="Y456" s="8">
        <v>0</v>
      </c>
      <c r="Z456" s="8">
        <v>0</v>
      </c>
      <c r="AA456" s="8">
        <v>7658865.6600000001</v>
      </c>
      <c r="AB456" s="8">
        <v>1649.88</v>
      </c>
      <c r="AC456" s="8">
        <v>0</v>
      </c>
      <c r="AD456" s="8">
        <v>0</v>
      </c>
      <c r="AE456" s="8">
        <v>0</v>
      </c>
      <c r="AF456" s="8">
        <v>0</v>
      </c>
      <c r="AG456" s="8">
        <v>0</v>
      </c>
      <c r="AH456" s="8">
        <v>0</v>
      </c>
    </row>
    <row r="457" spans="1:34" ht="15" customHeight="1" x14ac:dyDescent="0.2"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  <c r="AC457" s="8"/>
      <c r="AD457" s="8"/>
      <c r="AE457" s="8"/>
      <c r="AF457" s="8"/>
      <c r="AG457" s="8"/>
      <c r="AH457" s="8"/>
    </row>
    <row r="458" spans="1:34" ht="15" customHeight="1" x14ac:dyDescent="0.2"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  <c r="AC458" s="8"/>
      <c r="AD458" s="8"/>
      <c r="AE458" s="8"/>
      <c r="AF458" s="8"/>
      <c r="AG458" s="8"/>
      <c r="AH458" s="8"/>
    </row>
    <row r="459" spans="1:34" ht="15" customHeight="1" x14ac:dyDescent="0.2"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  <c r="AC459" s="8"/>
      <c r="AD459" s="8"/>
      <c r="AE459" s="8"/>
      <c r="AF459" s="8"/>
      <c r="AG459" s="8"/>
      <c r="AH459" s="8"/>
    </row>
    <row r="460" spans="1:34" ht="15" customHeight="1" x14ac:dyDescent="0.2"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8"/>
      <c r="AD460" s="8"/>
      <c r="AE460" s="8"/>
      <c r="AF460" s="8"/>
      <c r="AG460" s="8"/>
      <c r="AH460" s="8"/>
    </row>
    <row r="461" spans="1:34" ht="15" customHeight="1" x14ac:dyDescent="0.2">
      <c r="A461" s="1" t="s">
        <v>165</v>
      </c>
      <c r="B461" s="7" t="s">
        <v>152</v>
      </c>
      <c r="C461" s="7" t="s">
        <v>37</v>
      </c>
      <c r="D461" s="8"/>
      <c r="E461" s="8">
        <v>0</v>
      </c>
      <c r="F461" s="8">
        <v>0</v>
      </c>
      <c r="G461" s="8">
        <v>0</v>
      </c>
      <c r="H461" s="8">
        <v>0</v>
      </c>
      <c r="I461" s="8">
        <v>0</v>
      </c>
      <c r="J461" s="8">
        <v>0</v>
      </c>
      <c r="K461" s="8">
        <v>0</v>
      </c>
      <c r="L461" s="8">
        <v>0</v>
      </c>
      <c r="M461" s="8">
        <v>0</v>
      </c>
      <c r="N461" s="8">
        <v>0</v>
      </c>
      <c r="O461" s="8">
        <v>0</v>
      </c>
      <c r="P461" s="8">
        <v>0</v>
      </c>
      <c r="Q461" s="8">
        <v>0</v>
      </c>
      <c r="R461" s="8">
        <v>0</v>
      </c>
      <c r="S461" s="8">
        <v>0</v>
      </c>
      <c r="T461" s="8">
        <v>0</v>
      </c>
      <c r="U461" s="8">
        <v>1</v>
      </c>
      <c r="V461" s="8">
        <v>0</v>
      </c>
      <c r="W461" s="8">
        <v>0</v>
      </c>
      <c r="X461" s="8">
        <v>0</v>
      </c>
      <c r="Y461" s="8">
        <v>0</v>
      </c>
      <c r="Z461" s="8">
        <v>0</v>
      </c>
      <c r="AA461" s="8">
        <v>0</v>
      </c>
      <c r="AB461" s="8">
        <v>0</v>
      </c>
      <c r="AC461" s="8">
        <v>0</v>
      </c>
      <c r="AD461" s="8">
        <v>0</v>
      </c>
      <c r="AE461" s="8">
        <v>0</v>
      </c>
      <c r="AF461" s="8">
        <v>0</v>
      </c>
      <c r="AG461" s="8">
        <v>0</v>
      </c>
      <c r="AH461" s="8">
        <v>0</v>
      </c>
    </row>
    <row r="462" spans="1:34" ht="15" customHeight="1" x14ac:dyDescent="0.2">
      <c r="B462" s="1" t="s">
        <v>166</v>
      </c>
      <c r="D462" s="8">
        <f>SUM($E$462:$AH$462)</f>
        <v>1</v>
      </c>
      <c r="E462" s="8">
        <v>0</v>
      </c>
      <c r="F462" s="8">
        <v>0</v>
      </c>
      <c r="G462" s="8">
        <v>0</v>
      </c>
      <c r="H462" s="8">
        <v>0</v>
      </c>
      <c r="I462" s="8">
        <v>0</v>
      </c>
      <c r="J462" s="8">
        <v>0</v>
      </c>
      <c r="K462" s="8">
        <v>0</v>
      </c>
      <c r="L462" s="8">
        <v>0</v>
      </c>
      <c r="M462" s="8">
        <v>0</v>
      </c>
      <c r="N462" s="8">
        <v>0</v>
      </c>
      <c r="O462" s="8">
        <v>0</v>
      </c>
      <c r="P462" s="8">
        <v>0</v>
      </c>
      <c r="Q462" s="8">
        <v>0</v>
      </c>
      <c r="R462" s="8">
        <v>0</v>
      </c>
      <c r="S462" s="8">
        <v>0</v>
      </c>
      <c r="T462" s="8">
        <v>0</v>
      </c>
      <c r="U462" s="8">
        <v>1</v>
      </c>
      <c r="V462" s="8">
        <v>0</v>
      </c>
      <c r="W462" s="8">
        <v>0</v>
      </c>
      <c r="X462" s="8">
        <v>0</v>
      </c>
      <c r="Y462" s="8">
        <v>0</v>
      </c>
      <c r="Z462" s="8">
        <v>0</v>
      </c>
      <c r="AA462" s="8">
        <v>0</v>
      </c>
      <c r="AB462" s="8">
        <v>0</v>
      </c>
      <c r="AC462" s="8">
        <v>0</v>
      </c>
      <c r="AD462" s="8">
        <v>0</v>
      </c>
      <c r="AE462" s="8">
        <v>0</v>
      </c>
      <c r="AF462" s="8">
        <v>0</v>
      </c>
      <c r="AG462" s="8">
        <v>0</v>
      </c>
      <c r="AH462" s="8">
        <v>0</v>
      </c>
    </row>
    <row r="463" spans="1:34" ht="15" customHeight="1" x14ac:dyDescent="0.2"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8"/>
      <c r="AF463" s="8"/>
      <c r="AG463" s="8"/>
      <c r="AH463" s="8"/>
    </row>
    <row r="464" spans="1:34" ht="15" customHeight="1" x14ac:dyDescent="0.2"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  <c r="AC464" s="8"/>
      <c r="AD464" s="8"/>
      <c r="AE464" s="8"/>
      <c r="AF464" s="8"/>
      <c r="AG464" s="8"/>
      <c r="AH464" s="8"/>
    </row>
    <row r="465" spans="1:34" ht="15" customHeight="1" x14ac:dyDescent="0.2"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8"/>
      <c r="AF465" s="8"/>
      <c r="AG465" s="8"/>
      <c r="AH465" s="8"/>
    </row>
    <row r="466" spans="1:34" ht="15" customHeight="1" x14ac:dyDescent="0.2"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  <c r="AC466" s="8"/>
      <c r="AD466" s="8"/>
      <c r="AE466" s="8"/>
      <c r="AF466" s="8"/>
      <c r="AG466" s="8"/>
      <c r="AH466" s="8"/>
    </row>
    <row r="467" spans="1:34" ht="15" customHeight="1" x14ac:dyDescent="0.2">
      <c r="A467" s="1" t="s">
        <v>167</v>
      </c>
      <c r="B467" s="7" t="s">
        <v>152</v>
      </c>
      <c r="C467" s="7" t="s">
        <v>37</v>
      </c>
      <c r="D467" s="8"/>
      <c r="E467" s="8">
        <v>0</v>
      </c>
      <c r="F467" s="8">
        <v>0</v>
      </c>
      <c r="G467" s="8">
        <v>0</v>
      </c>
      <c r="H467" s="8">
        <v>0</v>
      </c>
      <c r="I467" s="8">
        <v>0</v>
      </c>
      <c r="J467" s="8">
        <v>0</v>
      </c>
      <c r="K467" s="8">
        <v>0</v>
      </c>
      <c r="L467" s="8">
        <v>0</v>
      </c>
      <c r="M467" s="8">
        <v>0</v>
      </c>
      <c r="N467" s="8">
        <v>0</v>
      </c>
      <c r="O467" s="8">
        <v>0</v>
      </c>
      <c r="P467" s="8">
        <v>0</v>
      </c>
      <c r="Q467" s="8">
        <v>0</v>
      </c>
      <c r="R467" s="8">
        <v>0</v>
      </c>
      <c r="S467" s="8">
        <v>0</v>
      </c>
      <c r="T467" s="8">
        <v>0</v>
      </c>
      <c r="U467" s="8">
        <v>0</v>
      </c>
      <c r="V467" s="8">
        <v>0</v>
      </c>
      <c r="W467" s="8">
        <v>0</v>
      </c>
      <c r="X467" s="8">
        <v>0</v>
      </c>
      <c r="Y467" s="8">
        <v>0</v>
      </c>
      <c r="Z467" s="8">
        <v>0</v>
      </c>
      <c r="AA467" s="8">
        <v>0</v>
      </c>
      <c r="AB467" s="8">
        <v>0</v>
      </c>
      <c r="AC467" s="8">
        <v>0</v>
      </c>
      <c r="AD467" s="8">
        <v>0</v>
      </c>
      <c r="AE467" s="8">
        <v>0</v>
      </c>
      <c r="AF467" s="8">
        <v>0</v>
      </c>
      <c r="AG467" s="8">
        <v>0</v>
      </c>
      <c r="AH467" s="8">
        <v>0</v>
      </c>
    </row>
    <row r="468" spans="1:34" ht="15" customHeight="1" x14ac:dyDescent="0.2">
      <c r="B468" s="1" t="s">
        <v>168</v>
      </c>
      <c r="D468" s="8">
        <f>SUM($E$468:$AH$468)</f>
        <v>0</v>
      </c>
      <c r="E468" s="8">
        <v>0</v>
      </c>
      <c r="F468" s="8">
        <v>0</v>
      </c>
      <c r="G468" s="8">
        <v>0</v>
      </c>
      <c r="H468" s="8">
        <v>0</v>
      </c>
      <c r="I468" s="8">
        <v>0</v>
      </c>
      <c r="J468" s="8">
        <v>0</v>
      </c>
      <c r="K468" s="8">
        <v>0</v>
      </c>
      <c r="L468" s="8">
        <v>0</v>
      </c>
      <c r="M468" s="8">
        <v>0</v>
      </c>
      <c r="N468" s="8">
        <v>0</v>
      </c>
      <c r="O468" s="8">
        <v>0</v>
      </c>
      <c r="P468" s="8">
        <v>0</v>
      </c>
      <c r="Q468" s="8">
        <v>0</v>
      </c>
      <c r="R468" s="8">
        <v>0</v>
      </c>
      <c r="S468" s="8">
        <v>0</v>
      </c>
      <c r="T468" s="8">
        <v>0</v>
      </c>
      <c r="U468" s="8">
        <v>0</v>
      </c>
      <c r="V468" s="8">
        <v>0</v>
      </c>
      <c r="W468" s="8">
        <v>0</v>
      </c>
      <c r="X468" s="8">
        <v>0</v>
      </c>
      <c r="Y468" s="8">
        <v>0</v>
      </c>
      <c r="Z468" s="8">
        <v>0</v>
      </c>
      <c r="AA468" s="8">
        <v>0</v>
      </c>
      <c r="AB468" s="8">
        <v>0</v>
      </c>
      <c r="AC468" s="8">
        <v>0</v>
      </c>
      <c r="AD468" s="8">
        <v>0</v>
      </c>
      <c r="AE468" s="8">
        <v>0</v>
      </c>
      <c r="AF468" s="8">
        <v>0</v>
      </c>
      <c r="AG468" s="8">
        <v>0</v>
      </c>
      <c r="AH468" s="8">
        <v>0</v>
      </c>
    </row>
    <row r="469" spans="1:34" ht="15" customHeight="1" x14ac:dyDescent="0.2"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/>
      <c r="AD469" s="8"/>
      <c r="AE469" s="8"/>
      <c r="AF469" s="8"/>
      <c r="AG469" s="8"/>
      <c r="AH469" s="8"/>
    </row>
    <row r="470" spans="1:34" ht="15" customHeight="1" x14ac:dyDescent="0.2"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  <c r="AC470" s="8"/>
      <c r="AD470" s="8"/>
      <c r="AE470" s="8"/>
      <c r="AF470" s="8"/>
      <c r="AG470" s="8"/>
      <c r="AH470" s="8"/>
    </row>
    <row r="471" spans="1:34" ht="15" customHeight="1" x14ac:dyDescent="0.2"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8"/>
      <c r="AD471" s="8"/>
      <c r="AE471" s="8"/>
      <c r="AF471" s="8"/>
      <c r="AG471" s="8"/>
      <c r="AH471" s="8"/>
    </row>
    <row r="472" spans="1:34" ht="15" customHeight="1" x14ac:dyDescent="0.2"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  <c r="AC472" s="8"/>
      <c r="AD472" s="8"/>
      <c r="AE472" s="8"/>
      <c r="AF472" s="8"/>
      <c r="AG472" s="8"/>
      <c r="AH472" s="8"/>
    </row>
    <row r="473" spans="1:34" ht="15" customHeight="1" x14ac:dyDescent="0.2"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  <c r="AC473" s="8"/>
      <c r="AD473" s="8"/>
      <c r="AE473" s="8"/>
      <c r="AF473" s="8"/>
      <c r="AG473" s="8"/>
      <c r="AH473" s="8"/>
    </row>
    <row r="474" spans="1:34" ht="15" customHeight="1" x14ac:dyDescent="0.2"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  <c r="AC474" s="8"/>
      <c r="AD474" s="8"/>
      <c r="AE474" s="8"/>
      <c r="AF474" s="8"/>
      <c r="AG474" s="8"/>
      <c r="AH474" s="8"/>
    </row>
    <row r="475" spans="1:34" ht="15" customHeight="1" x14ac:dyDescent="0.2"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  <c r="AC475" s="8"/>
      <c r="AD475" s="8"/>
      <c r="AE475" s="8"/>
      <c r="AF475" s="8"/>
      <c r="AG475" s="8"/>
      <c r="AH475" s="8"/>
    </row>
    <row r="476" spans="1:34" ht="15" customHeight="1" x14ac:dyDescent="0.2"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  <c r="AC476" s="8"/>
      <c r="AD476" s="8"/>
      <c r="AE476" s="8"/>
      <c r="AF476" s="8"/>
      <c r="AG476" s="8"/>
      <c r="AH476" s="8"/>
    </row>
  </sheetData>
  <phoneticPr fontId="2" type="noConversion"/>
  <pageMargins left="0.5" right="0.5" top="0.75" bottom="0.5" header="0" footer="0"/>
  <pageSetup scale="70" pageOrder="overThenDown" orientation="landscape" blackAndWhite="1" cellComments="asDisplayed" r:id="rId1"/>
  <headerFooter alignWithMargins="0">
    <oddFooter>Page &amp;P of &amp;N</oddFooter>
  </headerFooter>
  <rowBreaks count="5" manualBreakCount="5">
    <brk id="56" max="16383" man="1"/>
    <brk id="194" max="16383" man="1"/>
    <brk id="246" max="16383" man="1"/>
    <brk id="337" max="16383" man="1"/>
    <brk id="371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S44"/>
  <sheetViews>
    <sheetView showGridLines="0" zoomScale="75" zoomScaleNormal="75" workbookViewId="0">
      <selection activeCell="A2" sqref="A2"/>
    </sheetView>
  </sheetViews>
  <sheetFormatPr defaultColWidth="9.140625" defaultRowHeight="14.25" x14ac:dyDescent="0.2"/>
  <cols>
    <col min="1" max="1" width="22.42578125" style="168" customWidth="1"/>
    <col min="2" max="2" width="16.42578125" style="170" customWidth="1"/>
    <col min="3" max="3" width="51" style="170" customWidth="1"/>
    <col min="4" max="17" width="12.7109375" style="170" customWidth="1"/>
    <col min="18" max="18" width="10.7109375" style="170" customWidth="1"/>
    <col min="19" max="16384" width="9.140625" style="170"/>
  </cols>
  <sheetData>
    <row r="1" spans="1:19" s="173" customFormat="1" ht="15" x14ac:dyDescent="0.25">
      <c r="A1" s="227" t="s">
        <v>370</v>
      </c>
      <c r="B1" s="224"/>
    </row>
    <row r="2" spans="1:19" s="173" customFormat="1" ht="15" x14ac:dyDescent="0.25">
      <c r="A2" s="227" t="s">
        <v>364</v>
      </c>
      <c r="B2" s="224"/>
    </row>
    <row r="3" spans="1:19" s="173" customFormat="1" ht="15" x14ac:dyDescent="0.25">
      <c r="A3" s="227"/>
    </row>
    <row r="4" spans="1:19" ht="22.5" customHeight="1" x14ac:dyDescent="0.25">
      <c r="B4" s="169" t="s">
        <v>335</v>
      </c>
      <c r="O4" s="171"/>
      <c r="P4" s="171"/>
      <c r="S4" s="172" t="s">
        <v>328</v>
      </c>
    </row>
    <row r="5" spans="1:19" ht="22.5" customHeight="1" x14ac:dyDescent="0.25">
      <c r="B5" s="173" t="s">
        <v>263</v>
      </c>
      <c r="O5" s="171"/>
      <c r="P5" s="171"/>
    </row>
    <row r="6" spans="1:19" x14ac:dyDescent="0.2">
      <c r="H6" s="171"/>
      <c r="J6" s="171"/>
      <c r="K6" s="171"/>
      <c r="L6" s="171"/>
      <c r="M6" s="171"/>
      <c r="N6" s="171"/>
      <c r="O6" s="171"/>
      <c r="P6" s="171"/>
    </row>
    <row r="7" spans="1:19" ht="15" thickBot="1" x14ac:dyDescent="0.25"/>
    <row r="8" spans="1:19" ht="22.5" customHeight="1" thickBot="1" x14ac:dyDescent="0.3">
      <c r="A8" s="168" t="s">
        <v>264</v>
      </c>
      <c r="B8" s="246" t="s">
        <v>265</v>
      </c>
      <c r="C8" s="247"/>
      <c r="D8" s="174" t="s">
        <v>266</v>
      </c>
      <c r="E8" s="174" t="s">
        <v>267</v>
      </c>
      <c r="F8" s="174" t="s">
        <v>268</v>
      </c>
      <c r="G8" s="175" t="s">
        <v>269</v>
      </c>
      <c r="H8" s="175" t="s">
        <v>270</v>
      </c>
      <c r="I8" s="175" t="s">
        <v>271</v>
      </c>
      <c r="J8" s="175" t="s">
        <v>272</v>
      </c>
      <c r="K8" s="175" t="s">
        <v>273</v>
      </c>
      <c r="L8" s="175" t="s">
        <v>274</v>
      </c>
      <c r="M8" s="175" t="s">
        <v>275</v>
      </c>
      <c r="N8" s="174" t="s">
        <v>276</v>
      </c>
      <c r="O8" s="176" t="s">
        <v>277</v>
      </c>
      <c r="P8" s="177" t="s">
        <v>278</v>
      </c>
      <c r="Q8" s="178" t="s">
        <v>214</v>
      </c>
      <c r="R8" s="179" t="s">
        <v>329</v>
      </c>
    </row>
    <row r="9" spans="1:19" ht="20.25" customHeight="1" x14ac:dyDescent="0.25">
      <c r="B9" s="180" t="s">
        <v>279</v>
      </c>
      <c r="C9" s="181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3"/>
      <c r="P9" s="183"/>
      <c r="Q9" s="184"/>
      <c r="R9" s="185"/>
    </row>
    <row r="10" spans="1:19" ht="20.25" customHeight="1" x14ac:dyDescent="0.2">
      <c r="A10" s="168" t="str">
        <f>CONCATENATE($B10," -",TRIM($S$4))</f>
        <v>CILC-1D -FG:[GNCP - Forecasted]</v>
      </c>
      <c r="B10" s="186" t="s">
        <v>5</v>
      </c>
      <c r="C10" s="187" t="s">
        <v>280</v>
      </c>
      <c r="D10" s="188">
        <v>365675.127967551</v>
      </c>
      <c r="E10" s="188">
        <v>371889.138439678</v>
      </c>
      <c r="F10" s="188">
        <v>338524.77004689601</v>
      </c>
      <c r="G10" s="188">
        <v>354982.97042087599</v>
      </c>
      <c r="H10" s="188">
        <v>353939.09136079898</v>
      </c>
      <c r="I10" s="188">
        <v>369471.11785726098</v>
      </c>
      <c r="J10" s="188">
        <v>365440.105685813</v>
      </c>
      <c r="K10" s="188">
        <v>374801.57500193903</v>
      </c>
      <c r="L10" s="188">
        <v>373383.90938073699</v>
      </c>
      <c r="M10" s="188">
        <v>354853.05408515601</v>
      </c>
      <c r="N10" s="188">
        <v>359797.82116824499</v>
      </c>
      <c r="O10" s="188">
        <v>360302.01793626603</v>
      </c>
      <c r="P10" s="189">
        <f>SUM(D10:O10)</f>
        <v>4343060.6993512167</v>
      </c>
      <c r="Q10" s="190">
        <f>MAX(D10:O10)</f>
        <v>374801.57500193903</v>
      </c>
      <c r="R10" s="191">
        <f t="shared" ref="R10:R27" si="0">+Q10/$Q$41</f>
        <v>1.5724922390643374E-2</v>
      </c>
    </row>
    <row r="11" spans="1:19" ht="20.25" customHeight="1" x14ac:dyDescent="0.2">
      <c r="A11" s="168" t="str">
        <f t="shared" ref="A11:A26" si="1">CONCATENATE($B11," -",TRIM($S$4))</f>
        <v>CILC-1G -FG:[GNCP - Forecasted]</v>
      </c>
      <c r="B11" s="186" t="s">
        <v>6</v>
      </c>
      <c r="C11" s="187" t="s">
        <v>281</v>
      </c>
      <c r="D11" s="188">
        <v>13881.2684396146</v>
      </c>
      <c r="E11" s="188">
        <v>14441.359546772401</v>
      </c>
      <c r="F11" s="188">
        <v>12859.643398289199</v>
      </c>
      <c r="G11" s="188">
        <v>13616.460609634099</v>
      </c>
      <c r="H11" s="188">
        <v>13946.745889432999</v>
      </c>
      <c r="I11" s="188">
        <v>14231.4171624849</v>
      </c>
      <c r="J11" s="188">
        <v>14032.6156967194</v>
      </c>
      <c r="K11" s="188">
        <v>14490.6676495674</v>
      </c>
      <c r="L11" s="188">
        <v>14457.034007447301</v>
      </c>
      <c r="M11" s="188">
        <v>13724.707573398</v>
      </c>
      <c r="N11" s="188">
        <v>13659.9266775904</v>
      </c>
      <c r="O11" s="188">
        <v>13872.566951913001</v>
      </c>
      <c r="P11" s="189">
        <f t="shared" ref="P11:P26" si="2">SUM(D11:O11)</f>
        <v>167214.4136028637</v>
      </c>
      <c r="Q11" s="190">
        <f t="shared" ref="Q11:Q26" si="3">MAX(D11:O11)</f>
        <v>14490.6676495674</v>
      </c>
      <c r="R11" s="191">
        <f t="shared" si="0"/>
        <v>6.0796069007147354E-4</v>
      </c>
    </row>
    <row r="12" spans="1:19" ht="20.25" customHeight="1" x14ac:dyDescent="0.2">
      <c r="A12" s="168" t="str">
        <f t="shared" si="1"/>
        <v>CILC-1T -FG:[GNCP - Forecasted]</v>
      </c>
      <c r="B12" s="186" t="s">
        <v>7</v>
      </c>
      <c r="C12" s="187" t="s">
        <v>282</v>
      </c>
      <c r="D12" s="188">
        <v>197518.273636108</v>
      </c>
      <c r="E12" s="188">
        <v>208372.782689741</v>
      </c>
      <c r="F12" s="188">
        <v>193496.58709987701</v>
      </c>
      <c r="G12" s="188">
        <v>198710.73972154901</v>
      </c>
      <c r="H12" s="188">
        <v>195727.92408728501</v>
      </c>
      <c r="I12" s="188">
        <v>205629.80211282001</v>
      </c>
      <c r="J12" s="188">
        <v>200093.29733984399</v>
      </c>
      <c r="K12" s="188">
        <v>197370.53646168401</v>
      </c>
      <c r="L12" s="188">
        <v>215964.772521326</v>
      </c>
      <c r="M12" s="188">
        <v>200385.11975344</v>
      </c>
      <c r="N12" s="188">
        <v>213114.283026477</v>
      </c>
      <c r="O12" s="188">
        <v>208531.21473978899</v>
      </c>
      <c r="P12" s="189">
        <f t="shared" si="2"/>
        <v>2434915.3331899401</v>
      </c>
      <c r="Q12" s="190">
        <f t="shared" si="3"/>
        <v>215964.772521326</v>
      </c>
      <c r="R12" s="191">
        <f t="shared" si="0"/>
        <v>9.0608725083218562E-3</v>
      </c>
    </row>
    <row r="13" spans="1:19" ht="20.25" customHeight="1" x14ac:dyDescent="0.2">
      <c r="A13" s="168" t="str">
        <f t="shared" si="1"/>
        <v>GS(T)-1 -FG:[GNCP - Forecasted]</v>
      </c>
      <c r="B13" s="186" t="s">
        <v>171</v>
      </c>
      <c r="C13" s="187" t="s">
        <v>283</v>
      </c>
      <c r="D13" s="188">
        <v>1034599.18717648</v>
      </c>
      <c r="E13" s="188">
        <v>1043543.99672748</v>
      </c>
      <c r="F13" s="188">
        <v>947216.27938897</v>
      </c>
      <c r="G13" s="188">
        <v>1095809.52926064</v>
      </c>
      <c r="H13" s="188">
        <v>1147444.7112888501</v>
      </c>
      <c r="I13" s="188">
        <v>1284691.1998368199</v>
      </c>
      <c r="J13" s="188">
        <v>1276891.6350632301</v>
      </c>
      <c r="K13" s="188">
        <v>1301605.0352423999</v>
      </c>
      <c r="L13" s="188">
        <v>1307752.2985586701</v>
      </c>
      <c r="M13" s="188">
        <v>1192730.5888884999</v>
      </c>
      <c r="N13" s="188">
        <v>1108412.7657351601</v>
      </c>
      <c r="O13" s="188">
        <v>1057214.45736863</v>
      </c>
      <c r="P13" s="189">
        <f t="shared" si="2"/>
        <v>13797911.684535831</v>
      </c>
      <c r="Q13" s="190">
        <f t="shared" si="3"/>
        <v>1307752.2985586701</v>
      </c>
      <c r="R13" s="191">
        <f t="shared" si="0"/>
        <v>5.4867174453346892E-2</v>
      </c>
    </row>
    <row r="14" spans="1:19" ht="20.25" customHeight="1" x14ac:dyDescent="0.2">
      <c r="A14" s="168" t="str">
        <f t="shared" si="1"/>
        <v>GSCU-1 -FG:[GNCP - Forecasted]</v>
      </c>
      <c r="B14" s="186" t="s">
        <v>12</v>
      </c>
      <c r="C14" s="187" t="s">
        <v>284</v>
      </c>
      <c r="D14" s="188">
        <v>8352.8539200334908</v>
      </c>
      <c r="E14" s="188">
        <v>8869.0376686062991</v>
      </c>
      <c r="F14" s="188">
        <v>8742.8267835383303</v>
      </c>
      <c r="G14" s="188">
        <v>8468.2799514540202</v>
      </c>
      <c r="H14" s="188">
        <v>8621.2777955205693</v>
      </c>
      <c r="I14" s="188">
        <v>8522.1015543055491</v>
      </c>
      <c r="J14" s="188">
        <v>8353.0878575373499</v>
      </c>
      <c r="K14" s="188">
        <v>8632.5264881241692</v>
      </c>
      <c r="L14" s="188">
        <v>8266.7685203230303</v>
      </c>
      <c r="M14" s="188">
        <v>8062.6981247670601</v>
      </c>
      <c r="N14" s="188">
        <v>8315.4784966452498</v>
      </c>
      <c r="O14" s="188">
        <v>8250.9253960603492</v>
      </c>
      <c r="P14" s="189">
        <f t="shared" si="2"/>
        <v>101457.86255691548</v>
      </c>
      <c r="Q14" s="190">
        <f t="shared" si="3"/>
        <v>8869.0376686062991</v>
      </c>
      <c r="R14" s="191">
        <f t="shared" si="0"/>
        <v>3.7210336967715563E-4</v>
      </c>
    </row>
    <row r="15" spans="1:19" ht="20.25" customHeight="1" x14ac:dyDescent="0.2">
      <c r="A15" s="168" t="str">
        <f t="shared" si="1"/>
        <v>GSD(T)-1 -FG:[GNCP - Forecasted]</v>
      </c>
      <c r="B15" s="186" t="s">
        <v>170</v>
      </c>
      <c r="C15" s="187" t="s">
        <v>285</v>
      </c>
      <c r="D15" s="188">
        <v>4159938.3318697098</v>
      </c>
      <c r="E15" s="188">
        <v>4055327.7681852402</v>
      </c>
      <c r="F15" s="188">
        <v>3743977.9734125799</v>
      </c>
      <c r="G15" s="188">
        <v>4084575.4739510398</v>
      </c>
      <c r="H15" s="188">
        <v>4312247.8405454103</v>
      </c>
      <c r="I15" s="188">
        <v>4573641.6891325898</v>
      </c>
      <c r="J15" s="188">
        <v>4577448.1519403802</v>
      </c>
      <c r="K15" s="188">
        <v>4580866.8392105903</v>
      </c>
      <c r="L15" s="188">
        <v>4709694.0085823201</v>
      </c>
      <c r="M15" s="188">
        <v>4403410.7930769604</v>
      </c>
      <c r="N15" s="188">
        <v>4265403.7605246296</v>
      </c>
      <c r="O15" s="188">
        <v>4128868.9754161001</v>
      </c>
      <c r="P15" s="189">
        <f t="shared" si="2"/>
        <v>51595401.60584756</v>
      </c>
      <c r="Q15" s="190">
        <f t="shared" si="3"/>
        <v>4709694.0085823201</v>
      </c>
      <c r="R15" s="191">
        <f t="shared" si="0"/>
        <v>0.19759674907516578</v>
      </c>
    </row>
    <row r="16" spans="1:19" ht="20.25" customHeight="1" x14ac:dyDescent="0.2">
      <c r="A16" s="168" t="str">
        <f t="shared" si="1"/>
        <v>GSLD(T)-1 -FG:[GNCP - Forecasted]</v>
      </c>
      <c r="B16" s="186" t="s">
        <v>172</v>
      </c>
      <c r="C16" s="187" t="s">
        <v>286</v>
      </c>
      <c r="D16" s="188">
        <v>1763558.1189655601</v>
      </c>
      <c r="E16" s="188">
        <v>1760802.86756998</v>
      </c>
      <c r="F16" s="188">
        <v>1640697.89142238</v>
      </c>
      <c r="G16" s="188">
        <v>1687805.2039930599</v>
      </c>
      <c r="H16" s="188">
        <v>1767895.5907083901</v>
      </c>
      <c r="I16" s="188">
        <v>1832909.2860192701</v>
      </c>
      <c r="J16" s="188">
        <v>1755194.95318061</v>
      </c>
      <c r="K16" s="188">
        <v>1839551.0311714001</v>
      </c>
      <c r="L16" s="188">
        <v>1937401.07390875</v>
      </c>
      <c r="M16" s="188">
        <v>1837885.2186390299</v>
      </c>
      <c r="N16" s="188">
        <v>1837851.90671653</v>
      </c>
      <c r="O16" s="188">
        <v>1861108.6038405001</v>
      </c>
      <c r="P16" s="189">
        <f t="shared" si="2"/>
        <v>21522661.746135458</v>
      </c>
      <c r="Q16" s="190">
        <f t="shared" si="3"/>
        <v>1937401.07390875</v>
      </c>
      <c r="R16" s="191">
        <f t="shared" si="0"/>
        <v>8.1284294300541848E-2</v>
      </c>
    </row>
    <row r="17" spans="1:18" ht="20.25" customHeight="1" x14ac:dyDescent="0.2">
      <c r="A17" s="168" t="str">
        <f t="shared" si="1"/>
        <v>GSLD(T)-2 -FG:[GNCP - Forecasted]</v>
      </c>
      <c r="B17" s="186" t="s">
        <v>174</v>
      </c>
      <c r="C17" s="187" t="s">
        <v>287</v>
      </c>
      <c r="D17" s="188">
        <v>364641.09631734597</v>
      </c>
      <c r="E17" s="188">
        <v>352673.41501103999</v>
      </c>
      <c r="F17" s="188">
        <v>327892.04430871602</v>
      </c>
      <c r="G17" s="188">
        <v>335937.65818778798</v>
      </c>
      <c r="H17" s="188">
        <v>339797.23907902301</v>
      </c>
      <c r="I17" s="188">
        <v>353262.99137250398</v>
      </c>
      <c r="J17" s="188">
        <v>359666.51568898303</v>
      </c>
      <c r="K17" s="188">
        <v>355302.47854402201</v>
      </c>
      <c r="L17" s="188">
        <v>370880.56916072202</v>
      </c>
      <c r="M17" s="188">
        <v>349557.09585733199</v>
      </c>
      <c r="N17" s="188">
        <v>362331.345250718</v>
      </c>
      <c r="O17" s="188">
        <v>360401.693063499</v>
      </c>
      <c r="P17" s="189">
        <f t="shared" si="2"/>
        <v>4232344.1418416928</v>
      </c>
      <c r="Q17" s="190">
        <f t="shared" si="3"/>
        <v>370880.56916072202</v>
      </c>
      <c r="R17" s="191">
        <f t="shared" si="0"/>
        <v>1.5560415311007761E-2</v>
      </c>
    </row>
    <row r="18" spans="1:18" ht="20.25" customHeight="1" x14ac:dyDescent="0.2">
      <c r="A18" s="168" t="str">
        <f t="shared" si="1"/>
        <v>GSLD(T)-3 -FG:[GNCP - Forecasted]</v>
      </c>
      <c r="B18" s="186" t="s">
        <v>175</v>
      </c>
      <c r="C18" s="187" t="s">
        <v>288</v>
      </c>
      <c r="D18" s="188">
        <v>27379.6040539729</v>
      </c>
      <c r="E18" s="188">
        <v>36184.040690327398</v>
      </c>
      <c r="F18" s="188">
        <v>28926.727970692202</v>
      </c>
      <c r="G18" s="188">
        <v>31968.057787629899</v>
      </c>
      <c r="H18" s="188">
        <v>31049.393556348401</v>
      </c>
      <c r="I18" s="188">
        <v>33987.390365434403</v>
      </c>
      <c r="J18" s="188">
        <v>25829.842007018698</v>
      </c>
      <c r="K18" s="188">
        <v>28916.220644481498</v>
      </c>
      <c r="L18" s="188">
        <v>27498.7627139863</v>
      </c>
      <c r="M18" s="188">
        <v>27123.192147461501</v>
      </c>
      <c r="N18" s="188">
        <v>25313.5911284008</v>
      </c>
      <c r="O18" s="188">
        <v>25406.046492293</v>
      </c>
      <c r="P18" s="189">
        <f t="shared" si="2"/>
        <v>349582.86955804704</v>
      </c>
      <c r="Q18" s="190">
        <f t="shared" si="3"/>
        <v>36184.040690327398</v>
      </c>
      <c r="R18" s="191">
        <f t="shared" si="0"/>
        <v>1.518113235336155E-3</v>
      </c>
    </row>
    <row r="19" spans="1:18" ht="20.25" customHeight="1" x14ac:dyDescent="0.2">
      <c r="A19" s="168" t="str">
        <f t="shared" si="1"/>
        <v>MET -FG:[GNCP - Forecasted]</v>
      </c>
      <c r="B19" s="186" t="s">
        <v>20</v>
      </c>
      <c r="C19" s="187" t="s">
        <v>289</v>
      </c>
      <c r="D19" s="188">
        <v>16371.617312401801</v>
      </c>
      <c r="E19" s="188">
        <v>16723.704152489299</v>
      </c>
      <c r="F19" s="188">
        <v>13961.156424651501</v>
      </c>
      <c r="G19" s="188">
        <v>16287.525182393299</v>
      </c>
      <c r="H19" s="188">
        <v>15907.9772501348</v>
      </c>
      <c r="I19" s="188">
        <v>16528.059883223599</v>
      </c>
      <c r="J19" s="188">
        <v>16563.659088807599</v>
      </c>
      <c r="K19" s="188">
        <v>16462.083692263401</v>
      </c>
      <c r="L19" s="188">
        <v>17139.2000351676</v>
      </c>
      <c r="M19" s="188">
        <v>16299.325105729</v>
      </c>
      <c r="N19" s="188">
        <v>16290.060380807299</v>
      </c>
      <c r="O19" s="188">
        <v>14691.183334088801</v>
      </c>
      <c r="P19" s="189">
        <f t="shared" si="2"/>
        <v>193225.55184215799</v>
      </c>
      <c r="Q19" s="190">
        <f t="shared" si="3"/>
        <v>17139.2000351676</v>
      </c>
      <c r="R19" s="191">
        <f t="shared" si="0"/>
        <v>7.1908073062213883E-4</v>
      </c>
    </row>
    <row r="20" spans="1:18" ht="20.25" customHeight="1" x14ac:dyDescent="0.2">
      <c r="A20" s="168" t="str">
        <f t="shared" si="1"/>
        <v>OL-1 -FG:[GNCP - Forecasted]</v>
      </c>
      <c r="B20" s="186" t="s">
        <v>21</v>
      </c>
      <c r="C20" s="187" t="s">
        <v>166</v>
      </c>
      <c r="D20" s="188">
        <v>19911.6819159675</v>
      </c>
      <c r="E20" s="188">
        <v>22960.046461997001</v>
      </c>
      <c r="F20" s="188">
        <v>22035.366080067899</v>
      </c>
      <c r="G20" s="188">
        <v>24241.792484082001</v>
      </c>
      <c r="H20" s="188">
        <v>24823.1457920783</v>
      </c>
      <c r="I20" s="188">
        <v>26393.5073307887</v>
      </c>
      <c r="J20" s="188">
        <v>25192.8974375088</v>
      </c>
      <c r="K20" s="188">
        <v>23977.7272711554</v>
      </c>
      <c r="L20" s="188">
        <v>23236.7086613096</v>
      </c>
      <c r="M20" s="188">
        <v>21103.903475741499</v>
      </c>
      <c r="N20" s="188">
        <v>20724.494800057</v>
      </c>
      <c r="O20" s="188">
        <v>19575.146358407899</v>
      </c>
      <c r="P20" s="189">
        <f t="shared" si="2"/>
        <v>274176.41806916159</v>
      </c>
      <c r="Q20" s="190">
        <f t="shared" si="3"/>
        <v>26393.5073307887</v>
      </c>
      <c r="R20" s="191">
        <f t="shared" si="0"/>
        <v>1.1073482132282449E-3</v>
      </c>
    </row>
    <row r="21" spans="1:18" ht="20.25" customHeight="1" x14ac:dyDescent="0.2">
      <c r="A21" s="168" t="str">
        <f t="shared" si="1"/>
        <v>OS-2 -FG:[GNCP - Forecasted]</v>
      </c>
      <c r="B21" s="186" t="s">
        <v>22</v>
      </c>
      <c r="C21" s="187" t="s">
        <v>290</v>
      </c>
      <c r="D21" s="188">
        <v>8218.5706292996892</v>
      </c>
      <c r="E21" s="188">
        <v>10671.3430118326</v>
      </c>
      <c r="F21" s="188">
        <v>11767.8131359791</v>
      </c>
      <c r="G21" s="188">
        <v>9102.4431259170797</v>
      </c>
      <c r="H21" s="188">
        <v>7955.8681426633702</v>
      </c>
      <c r="I21" s="188">
        <v>6645.05641501225</v>
      </c>
      <c r="J21" s="188">
        <v>5039.8283026899899</v>
      </c>
      <c r="K21" s="188">
        <v>5681.5215009665999</v>
      </c>
      <c r="L21" s="188">
        <v>8677.8369226821997</v>
      </c>
      <c r="M21" s="188">
        <v>9169.4264582359301</v>
      </c>
      <c r="N21" s="188">
        <v>10974.528980033499</v>
      </c>
      <c r="O21" s="188">
        <v>9220.1914654410193</v>
      </c>
      <c r="P21" s="189">
        <f t="shared" si="2"/>
        <v>103124.42809075334</v>
      </c>
      <c r="Q21" s="190">
        <f t="shared" si="3"/>
        <v>11767.8131359791</v>
      </c>
      <c r="R21" s="191">
        <f t="shared" si="0"/>
        <v>4.9372244038704382E-4</v>
      </c>
    </row>
    <row r="22" spans="1:18" ht="20.25" customHeight="1" x14ac:dyDescent="0.2">
      <c r="A22" s="168" t="str">
        <f t="shared" si="1"/>
        <v>RS(T)-1 -FG:[GNCP - Forecasted]</v>
      </c>
      <c r="B22" s="186" t="s">
        <v>169</v>
      </c>
      <c r="C22" s="187" t="s">
        <v>291</v>
      </c>
      <c r="D22" s="188">
        <v>12270361.2399708</v>
      </c>
      <c r="E22" s="188">
        <v>10735479.371553799</v>
      </c>
      <c r="F22" s="188">
        <v>10106517.777918199</v>
      </c>
      <c r="G22" s="188">
        <v>10236813.6027721</v>
      </c>
      <c r="H22" s="188">
        <v>11321099.7314748</v>
      </c>
      <c r="I22" s="188">
        <v>12166982.0799204</v>
      </c>
      <c r="J22" s="188">
        <v>12595559.0713524</v>
      </c>
      <c r="K22" s="188">
        <v>13003637.990172099</v>
      </c>
      <c r="L22" s="188">
        <v>13276515.0116025</v>
      </c>
      <c r="M22" s="188">
        <v>11798214.868702799</v>
      </c>
      <c r="N22" s="188">
        <v>10002323.954691101</v>
      </c>
      <c r="O22" s="188">
        <v>9207317.1968024299</v>
      </c>
      <c r="P22" s="189">
        <f t="shared" si="2"/>
        <v>136720821.89693344</v>
      </c>
      <c r="Q22" s="190">
        <f t="shared" si="3"/>
        <v>13276515.0116025</v>
      </c>
      <c r="R22" s="191">
        <f t="shared" si="0"/>
        <v>0.55702051992332458</v>
      </c>
    </row>
    <row r="23" spans="1:18" ht="20.25" customHeight="1" x14ac:dyDescent="0.2">
      <c r="A23" s="168" t="str">
        <f t="shared" si="1"/>
        <v>SL-1 -FG:[GNCP - Forecasted]</v>
      </c>
      <c r="B23" s="186" t="s">
        <v>27</v>
      </c>
      <c r="C23" s="187" t="s">
        <v>292</v>
      </c>
      <c r="D23" s="188">
        <v>119467.34308073499</v>
      </c>
      <c r="E23" s="188">
        <v>127628.473554943</v>
      </c>
      <c r="F23" s="188">
        <v>123286.30276521599</v>
      </c>
      <c r="G23" s="188">
        <v>140098.385815608</v>
      </c>
      <c r="H23" s="188">
        <v>143002.23908504401</v>
      </c>
      <c r="I23" s="188">
        <v>143936.12920092299</v>
      </c>
      <c r="J23" s="188">
        <v>142176.08158578101</v>
      </c>
      <c r="K23" s="188">
        <v>154290.90764640001</v>
      </c>
      <c r="L23" s="188">
        <v>132706.58513429001</v>
      </c>
      <c r="M23" s="188">
        <v>113766.397406825</v>
      </c>
      <c r="N23" s="188">
        <v>110626.90328302899</v>
      </c>
      <c r="O23" s="188">
        <v>119995.56981384</v>
      </c>
      <c r="P23" s="189">
        <f t="shared" si="2"/>
        <v>1570981.3183726342</v>
      </c>
      <c r="Q23" s="190">
        <f t="shared" si="3"/>
        <v>154290.90764640001</v>
      </c>
      <c r="R23" s="191">
        <f t="shared" si="0"/>
        <v>6.4733253810606651E-3</v>
      </c>
    </row>
    <row r="24" spans="1:18" ht="20.25" customHeight="1" x14ac:dyDescent="0.2">
      <c r="A24" s="168" t="str">
        <f t="shared" si="1"/>
        <v>SL-2 -FG:[GNCP - Forecasted]</v>
      </c>
      <c r="B24" s="186" t="s">
        <v>28</v>
      </c>
      <c r="C24" s="187" t="s">
        <v>293</v>
      </c>
      <c r="D24" s="188">
        <v>3962.4637828462</v>
      </c>
      <c r="E24" s="188">
        <v>4044.9776943074999</v>
      </c>
      <c r="F24" s="188">
        <v>4060.9593295485502</v>
      </c>
      <c r="G24" s="188">
        <v>4046.8202282593002</v>
      </c>
      <c r="H24" s="188">
        <v>3996.6533117588801</v>
      </c>
      <c r="I24" s="188">
        <v>3960.7461543763102</v>
      </c>
      <c r="J24" s="188">
        <v>3888.5097490224598</v>
      </c>
      <c r="K24" s="188">
        <v>4015.67388457793</v>
      </c>
      <c r="L24" s="188">
        <v>3822.42015596073</v>
      </c>
      <c r="M24" s="188">
        <v>3742.2236574430499</v>
      </c>
      <c r="N24" s="188">
        <v>3831.5468700131901</v>
      </c>
      <c r="O24" s="188">
        <v>3774.0183237645301</v>
      </c>
      <c r="P24" s="189">
        <f t="shared" si="2"/>
        <v>47147.013141878626</v>
      </c>
      <c r="Q24" s="190">
        <f t="shared" si="3"/>
        <v>4060.9593295485502</v>
      </c>
      <c r="R24" s="191">
        <f t="shared" si="0"/>
        <v>1.7037887391049445E-4</v>
      </c>
    </row>
    <row r="25" spans="1:18" ht="20.25" customHeight="1" x14ac:dyDescent="0.2">
      <c r="A25" s="168" t="str">
        <f t="shared" si="1"/>
        <v>SST-DST -FG:[GNCP - Forecasted]</v>
      </c>
      <c r="B25" s="186" t="s">
        <v>29</v>
      </c>
      <c r="C25" s="187" t="s">
        <v>294</v>
      </c>
      <c r="D25" s="188">
        <v>2094.8997814579898</v>
      </c>
      <c r="E25" s="188">
        <v>3688.28557221956</v>
      </c>
      <c r="F25" s="188">
        <v>1559.57309101021</v>
      </c>
      <c r="G25" s="188">
        <v>3752.7793593986598</v>
      </c>
      <c r="H25" s="188">
        <v>3780.5827207051898</v>
      </c>
      <c r="I25" s="188">
        <v>3297.8128041258401</v>
      </c>
      <c r="J25" s="188">
        <v>3153.7324038724701</v>
      </c>
      <c r="K25" s="188">
        <v>3347.9186106707898</v>
      </c>
      <c r="L25" s="188">
        <v>3632.0019128777399</v>
      </c>
      <c r="M25" s="188">
        <v>5011.8482839973403</v>
      </c>
      <c r="N25" s="188">
        <v>8201.2538466420592</v>
      </c>
      <c r="O25" s="188">
        <v>2237.9847529906701</v>
      </c>
      <c r="P25" s="189">
        <f t="shared" si="2"/>
        <v>43758.673139968516</v>
      </c>
      <c r="Q25" s="190">
        <f t="shared" si="3"/>
        <v>8201.2538466420592</v>
      </c>
      <c r="R25" s="191">
        <f t="shared" si="0"/>
        <v>3.4408628150440568E-4</v>
      </c>
    </row>
    <row r="26" spans="1:18" ht="20.25" customHeight="1" x14ac:dyDescent="0.2">
      <c r="A26" s="168" t="str">
        <f t="shared" si="1"/>
        <v>SST-TST -FG:[GNCP - Forecasted]</v>
      </c>
      <c r="B26" s="186" t="s">
        <v>30</v>
      </c>
      <c r="C26" s="187" t="s">
        <v>295</v>
      </c>
      <c r="D26" s="188">
        <v>27161.062652635701</v>
      </c>
      <c r="E26" s="188">
        <v>35824.269817482702</v>
      </c>
      <c r="F26" s="188">
        <v>51499.060994838001</v>
      </c>
      <c r="G26" s="188">
        <v>38254.510631621197</v>
      </c>
      <c r="H26" s="188">
        <v>51961.080237677197</v>
      </c>
      <c r="I26" s="188">
        <v>42020.066943799698</v>
      </c>
      <c r="J26" s="188">
        <v>27417.529125675701</v>
      </c>
      <c r="K26" s="188">
        <v>33207.601247620099</v>
      </c>
      <c r="L26" s="188">
        <v>25998.538042951001</v>
      </c>
      <c r="M26" s="188">
        <v>35228.266568126397</v>
      </c>
      <c r="N26" s="188">
        <v>57625.579904252903</v>
      </c>
      <c r="O26" s="188">
        <v>29998.785873165401</v>
      </c>
      <c r="P26" s="189">
        <f t="shared" si="2"/>
        <v>456196.35203984607</v>
      </c>
      <c r="Q26" s="190">
        <f t="shared" si="3"/>
        <v>57625.579904252903</v>
      </c>
      <c r="R26" s="191">
        <f t="shared" si="0"/>
        <v>2.4177000102134239E-3</v>
      </c>
    </row>
    <row r="27" spans="1:18" ht="20.25" customHeight="1" x14ac:dyDescent="0.25">
      <c r="B27" s="192" t="s">
        <v>296</v>
      </c>
      <c r="C27" s="193"/>
      <c r="D27" s="194">
        <f>SUM(D10:D26)</f>
        <v>20403092.741472524</v>
      </c>
      <c r="E27" s="194">
        <f t="shared" ref="E27:Q27" si="4">SUM(E10:E26)</f>
        <v>18809124.878347933</v>
      </c>
      <c r="F27" s="194">
        <f t="shared" si="4"/>
        <v>17577022.753571451</v>
      </c>
      <c r="G27" s="194">
        <f t="shared" si="4"/>
        <v>18284472.233483054</v>
      </c>
      <c r="H27" s="194">
        <f t="shared" si="4"/>
        <v>19743197.092325918</v>
      </c>
      <c r="I27" s="194">
        <f t="shared" si="4"/>
        <v>21086110.454066135</v>
      </c>
      <c r="J27" s="194">
        <f t="shared" si="4"/>
        <v>21401941.513505891</v>
      </c>
      <c r="K27" s="194">
        <f t="shared" si="4"/>
        <v>21946158.334439963</v>
      </c>
      <c r="L27" s="194">
        <f t="shared" si="4"/>
        <v>22457027.499822021</v>
      </c>
      <c r="M27" s="194">
        <f t="shared" si="4"/>
        <v>20390268.727804944</v>
      </c>
      <c r="N27" s="194">
        <f t="shared" si="4"/>
        <v>18424799.201480333</v>
      </c>
      <c r="O27" s="194">
        <f t="shared" si="4"/>
        <v>17430766.57792918</v>
      </c>
      <c r="P27" s="195">
        <f t="shared" si="4"/>
        <v>237953982.00824937</v>
      </c>
      <c r="Q27" s="196">
        <f t="shared" si="4"/>
        <v>22532032.276573509</v>
      </c>
      <c r="R27" s="197">
        <f t="shared" si="0"/>
        <v>0.9453387671883634</v>
      </c>
    </row>
    <row r="28" spans="1:18" ht="20.25" customHeight="1" x14ac:dyDescent="0.2">
      <c r="B28" s="198"/>
      <c r="C28" s="183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  <c r="O28" s="188"/>
      <c r="P28" s="189"/>
      <c r="Q28" s="190"/>
      <c r="R28" s="185"/>
    </row>
    <row r="29" spans="1:18" ht="20.25" customHeight="1" x14ac:dyDescent="0.25">
      <c r="B29" s="180" t="s">
        <v>297</v>
      </c>
      <c r="C29" s="181"/>
      <c r="D29" s="188"/>
      <c r="E29" s="188"/>
      <c r="F29" s="188"/>
      <c r="G29" s="188"/>
      <c r="H29" s="188"/>
      <c r="I29" s="188"/>
      <c r="J29" s="188"/>
      <c r="K29" s="188"/>
      <c r="L29" s="188"/>
      <c r="M29" s="188"/>
      <c r="N29" s="188"/>
      <c r="O29" s="188"/>
      <c r="P29" s="189"/>
      <c r="Q29" s="190"/>
      <c r="R29" s="185"/>
    </row>
    <row r="30" spans="1:18" ht="20.25" customHeight="1" x14ac:dyDescent="0.2">
      <c r="A30" s="168" t="str">
        <f t="shared" ref="A30:A38" si="5">CONCATENATE($B30," -",TRIM($S$4))</f>
        <v>BLOUNTSTOWN -FG:[GNCP - Forecasted]</v>
      </c>
      <c r="B30" s="186" t="s">
        <v>245</v>
      </c>
      <c r="C30" s="187" t="s">
        <v>298</v>
      </c>
      <c r="D30" s="188">
        <v>0</v>
      </c>
      <c r="E30" s="188">
        <v>0</v>
      </c>
      <c r="F30" s="188">
        <v>0</v>
      </c>
      <c r="G30" s="188">
        <v>0</v>
      </c>
      <c r="H30" s="188">
        <v>0</v>
      </c>
      <c r="I30" s="188">
        <v>0</v>
      </c>
      <c r="J30" s="188">
        <v>0</v>
      </c>
      <c r="K30" s="188">
        <v>0</v>
      </c>
      <c r="L30" s="188">
        <v>0</v>
      </c>
      <c r="M30" s="188">
        <v>0</v>
      </c>
      <c r="N30" s="188">
        <v>0</v>
      </c>
      <c r="O30" s="188">
        <v>0</v>
      </c>
      <c r="P30" s="189">
        <f t="shared" ref="P30:P38" si="6">SUM(D30:O30)</f>
        <v>0</v>
      </c>
      <c r="Q30" s="190">
        <f t="shared" ref="Q30:Q38" si="7">MAX(D30:O30)</f>
        <v>0</v>
      </c>
      <c r="R30" s="191">
        <f t="shared" ref="R30:R39" si="8">+Q30/$Q$41</f>
        <v>0</v>
      </c>
    </row>
    <row r="31" spans="1:18" ht="20.25" customHeight="1" x14ac:dyDescent="0.2">
      <c r="A31" s="168" t="str">
        <f t="shared" si="5"/>
        <v>FKEC -FG:[GNCP - Forecasted]</v>
      </c>
      <c r="B31" s="186" t="s">
        <v>246</v>
      </c>
      <c r="C31" s="187" t="s">
        <v>299</v>
      </c>
      <c r="D31" s="188">
        <v>127064.787749221</v>
      </c>
      <c r="E31" s="188">
        <v>125678.964723471</v>
      </c>
      <c r="F31" s="188">
        <v>133007.530455687</v>
      </c>
      <c r="G31" s="188">
        <v>138253.75554397301</v>
      </c>
      <c r="H31" s="188">
        <v>151373.491989528</v>
      </c>
      <c r="I31" s="188">
        <v>154828.47225884799</v>
      </c>
      <c r="J31" s="188">
        <v>162584.705069049</v>
      </c>
      <c r="K31" s="188">
        <v>162016.21781365099</v>
      </c>
      <c r="L31" s="188">
        <v>152912.57936841299</v>
      </c>
      <c r="M31" s="188">
        <v>138146.07584348199</v>
      </c>
      <c r="N31" s="188">
        <v>123425.476138825</v>
      </c>
      <c r="O31" s="188">
        <v>128105.091533297</v>
      </c>
      <c r="P31" s="189">
        <f t="shared" ref="P31" si="9">SUM(D31:O31)</f>
        <v>1697397.1484874452</v>
      </c>
      <c r="Q31" s="190">
        <f t="shared" si="7"/>
        <v>162584.705069049</v>
      </c>
      <c r="R31" s="191">
        <f t="shared" si="8"/>
        <v>6.821294358496789E-3</v>
      </c>
    </row>
    <row r="32" spans="1:18" ht="20.25" customHeight="1" x14ac:dyDescent="0.2">
      <c r="A32" s="168" t="str">
        <f t="shared" si="5"/>
        <v>HOMESTEAD -FG:[GNCP - Forecasted]</v>
      </c>
      <c r="B32" s="186" t="s">
        <v>247</v>
      </c>
      <c r="C32" s="187" t="s">
        <v>300</v>
      </c>
      <c r="D32" s="188">
        <v>21000</v>
      </c>
      <c r="E32" s="188">
        <v>0</v>
      </c>
      <c r="F32" s="188">
        <v>0</v>
      </c>
      <c r="G32" s="188">
        <v>0</v>
      </c>
      <c r="H32" s="188">
        <v>0</v>
      </c>
      <c r="I32" s="188">
        <v>0</v>
      </c>
      <c r="J32" s="188">
        <v>0</v>
      </c>
      <c r="K32" s="188">
        <v>21000</v>
      </c>
      <c r="L32" s="188">
        <v>0</v>
      </c>
      <c r="M32" s="188">
        <v>0</v>
      </c>
      <c r="N32" s="188">
        <v>0</v>
      </c>
      <c r="O32" s="188">
        <v>0</v>
      </c>
      <c r="P32" s="189">
        <f t="shared" ref="P32:P36" si="10">SUM(D32:O32)</f>
        <v>42000</v>
      </c>
      <c r="Q32" s="190">
        <f t="shared" si="7"/>
        <v>21000</v>
      </c>
      <c r="R32" s="191">
        <f t="shared" si="8"/>
        <v>8.8106185306665913E-4</v>
      </c>
    </row>
    <row r="33" spans="1:18" ht="20.25" customHeight="1" x14ac:dyDescent="0.2">
      <c r="A33" s="168" t="str">
        <f t="shared" si="5"/>
        <v>LCEC -FG:[GNCP - Forecasted]</v>
      </c>
      <c r="B33" s="186" t="s">
        <v>34</v>
      </c>
      <c r="C33" s="187" t="s">
        <v>301</v>
      </c>
      <c r="D33" s="188">
        <v>752102</v>
      </c>
      <c r="E33" s="188">
        <v>672677</v>
      </c>
      <c r="F33" s="188">
        <v>619483</v>
      </c>
      <c r="G33" s="188">
        <v>632208</v>
      </c>
      <c r="H33" s="188">
        <v>721094</v>
      </c>
      <c r="I33" s="188">
        <v>776545</v>
      </c>
      <c r="J33" s="188">
        <v>782863</v>
      </c>
      <c r="K33" s="188">
        <v>795259</v>
      </c>
      <c r="L33" s="188">
        <v>760044</v>
      </c>
      <c r="M33" s="188">
        <v>713212</v>
      </c>
      <c r="N33" s="188">
        <v>585750</v>
      </c>
      <c r="O33" s="188">
        <v>554266</v>
      </c>
      <c r="P33" s="189">
        <f t="shared" si="10"/>
        <v>8365503</v>
      </c>
      <c r="Q33" s="190">
        <f t="shared" si="7"/>
        <v>795259</v>
      </c>
      <c r="R33" s="191">
        <f t="shared" si="8"/>
        <v>3.3365350867044681E-2</v>
      </c>
    </row>
    <row r="34" spans="1:18" ht="20.25" customHeight="1" x14ac:dyDescent="0.2">
      <c r="A34" s="168" t="str">
        <f t="shared" si="5"/>
        <v>NEW SMRYNA BEACH -FG:[GNCP - Forecasted]</v>
      </c>
      <c r="B34" s="186" t="s">
        <v>248</v>
      </c>
      <c r="C34" s="187" t="s">
        <v>302</v>
      </c>
      <c r="D34" s="188">
        <v>45000</v>
      </c>
      <c r="E34" s="188">
        <v>0</v>
      </c>
      <c r="F34" s="188">
        <v>0</v>
      </c>
      <c r="G34" s="188">
        <v>0</v>
      </c>
      <c r="H34" s="188">
        <v>0</v>
      </c>
      <c r="I34" s="188">
        <v>0</v>
      </c>
      <c r="J34" s="188">
        <v>0</v>
      </c>
      <c r="K34" s="188">
        <v>45000</v>
      </c>
      <c r="L34" s="188">
        <v>0</v>
      </c>
      <c r="M34" s="188">
        <v>0</v>
      </c>
      <c r="N34" s="188">
        <v>0</v>
      </c>
      <c r="O34" s="188">
        <v>0</v>
      </c>
      <c r="P34" s="189">
        <f t="shared" si="10"/>
        <v>90000</v>
      </c>
      <c r="Q34" s="190">
        <f t="shared" si="7"/>
        <v>45000</v>
      </c>
      <c r="R34" s="191">
        <f t="shared" si="8"/>
        <v>1.887989685142841E-3</v>
      </c>
    </row>
    <row r="35" spans="1:18" ht="20.25" customHeight="1" x14ac:dyDescent="0.2">
      <c r="A35" s="168" t="str">
        <f t="shared" si="5"/>
        <v>QUINCY -FG:[GNCP - Forecasted]</v>
      </c>
      <c r="B35" s="186" t="s">
        <v>249</v>
      </c>
      <c r="C35" s="187" t="s">
        <v>303</v>
      </c>
      <c r="D35" s="188">
        <v>19000</v>
      </c>
      <c r="E35" s="188">
        <v>0</v>
      </c>
      <c r="F35" s="188">
        <v>0</v>
      </c>
      <c r="G35" s="188">
        <v>0</v>
      </c>
      <c r="H35" s="188">
        <v>0</v>
      </c>
      <c r="I35" s="188">
        <v>0</v>
      </c>
      <c r="J35" s="188">
        <v>0</v>
      </c>
      <c r="K35" s="188">
        <v>19000</v>
      </c>
      <c r="L35" s="188">
        <v>0</v>
      </c>
      <c r="M35" s="188">
        <v>0</v>
      </c>
      <c r="N35" s="188">
        <v>0</v>
      </c>
      <c r="O35" s="188">
        <v>0</v>
      </c>
      <c r="P35" s="189">
        <f t="shared" si="10"/>
        <v>38000</v>
      </c>
      <c r="Q35" s="190">
        <f t="shared" si="7"/>
        <v>19000</v>
      </c>
      <c r="R35" s="191">
        <f t="shared" si="8"/>
        <v>7.9715120039364402E-4</v>
      </c>
    </row>
    <row r="36" spans="1:18" ht="20.25" customHeight="1" x14ac:dyDescent="0.2">
      <c r="A36" s="168" t="str">
        <f t="shared" si="5"/>
        <v>SEMINOLE -FG:[GNCP - Forecasted]</v>
      </c>
      <c r="B36" s="186" t="s">
        <v>33</v>
      </c>
      <c r="C36" s="187" t="s">
        <v>304</v>
      </c>
      <c r="D36" s="188">
        <v>200000</v>
      </c>
      <c r="E36" s="188">
        <v>200000</v>
      </c>
      <c r="F36" s="188">
        <v>200000</v>
      </c>
      <c r="G36" s="188">
        <v>200000</v>
      </c>
      <c r="H36" s="188">
        <v>200000</v>
      </c>
      <c r="I36" s="188">
        <v>200000</v>
      </c>
      <c r="J36" s="188">
        <v>200000</v>
      </c>
      <c r="K36" s="188">
        <v>200000</v>
      </c>
      <c r="L36" s="188">
        <v>200000</v>
      </c>
      <c r="M36" s="188">
        <v>200000</v>
      </c>
      <c r="N36" s="188">
        <v>200000</v>
      </c>
      <c r="O36" s="188">
        <v>200000</v>
      </c>
      <c r="P36" s="189">
        <f t="shared" si="10"/>
        <v>2400000</v>
      </c>
      <c r="Q36" s="190">
        <f t="shared" si="7"/>
        <v>200000</v>
      </c>
      <c r="R36" s="191">
        <f t="shared" si="8"/>
        <v>8.3910652673015156E-3</v>
      </c>
    </row>
    <row r="37" spans="1:18" ht="20.25" customHeight="1" x14ac:dyDescent="0.2">
      <c r="A37" s="168" t="str">
        <f t="shared" si="5"/>
        <v>WAUCHULA -FG:[GNCP - Forecasted]</v>
      </c>
      <c r="B37" s="186" t="s">
        <v>250</v>
      </c>
      <c r="C37" s="187" t="s">
        <v>305</v>
      </c>
      <c r="D37" s="188">
        <v>0</v>
      </c>
      <c r="E37" s="188">
        <v>0</v>
      </c>
      <c r="F37" s="188">
        <v>0</v>
      </c>
      <c r="G37" s="188">
        <v>0</v>
      </c>
      <c r="H37" s="188">
        <v>0</v>
      </c>
      <c r="I37" s="188">
        <v>0</v>
      </c>
      <c r="J37" s="188">
        <v>0</v>
      </c>
      <c r="K37" s="188">
        <v>0</v>
      </c>
      <c r="L37" s="188">
        <v>0</v>
      </c>
      <c r="M37" s="188">
        <v>0</v>
      </c>
      <c r="N37" s="188">
        <v>0</v>
      </c>
      <c r="O37" s="188">
        <v>0</v>
      </c>
      <c r="P37" s="189">
        <f t="shared" ref="P37" si="11">SUM(D37:O37)</f>
        <v>0</v>
      </c>
      <c r="Q37" s="190">
        <f t="shared" si="7"/>
        <v>0</v>
      </c>
      <c r="R37" s="191">
        <f t="shared" si="8"/>
        <v>0</v>
      </c>
    </row>
    <row r="38" spans="1:18" ht="20.25" customHeight="1" x14ac:dyDescent="0.2">
      <c r="A38" s="168" t="str">
        <f t="shared" si="5"/>
        <v>WINTER PARK -FG:[GNCP - Forecasted]</v>
      </c>
      <c r="B38" s="186" t="s">
        <v>251</v>
      </c>
      <c r="C38" s="187" t="s">
        <v>306</v>
      </c>
      <c r="D38" s="188">
        <v>60000</v>
      </c>
      <c r="E38" s="188">
        <v>0</v>
      </c>
      <c r="F38" s="188">
        <v>0</v>
      </c>
      <c r="G38" s="188">
        <v>0</v>
      </c>
      <c r="H38" s="188">
        <v>0</v>
      </c>
      <c r="I38" s="188">
        <v>0</v>
      </c>
      <c r="J38" s="188">
        <v>0</v>
      </c>
      <c r="K38" s="188">
        <v>60000</v>
      </c>
      <c r="L38" s="188">
        <v>0</v>
      </c>
      <c r="M38" s="188">
        <v>0</v>
      </c>
      <c r="N38" s="188">
        <v>0</v>
      </c>
      <c r="O38" s="188">
        <v>0</v>
      </c>
      <c r="P38" s="189">
        <f t="shared" si="6"/>
        <v>120000</v>
      </c>
      <c r="Q38" s="190">
        <f t="shared" si="7"/>
        <v>60000</v>
      </c>
      <c r="R38" s="191">
        <f t="shared" si="8"/>
        <v>2.5173195801904548E-3</v>
      </c>
    </row>
    <row r="39" spans="1:18" ht="20.25" customHeight="1" x14ac:dyDescent="0.25">
      <c r="B39" s="192" t="s">
        <v>307</v>
      </c>
      <c r="C39" s="193"/>
      <c r="D39" s="194">
        <f t="shared" ref="D39:Q39" si="12">SUM(D30:D38)</f>
        <v>1224166.7877492211</v>
      </c>
      <c r="E39" s="194">
        <f t="shared" si="12"/>
        <v>998355.96472347097</v>
      </c>
      <c r="F39" s="194">
        <f t="shared" si="12"/>
        <v>952490.53045568697</v>
      </c>
      <c r="G39" s="194">
        <f t="shared" si="12"/>
        <v>970461.75554397306</v>
      </c>
      <c r="H39" s="194">
        <f t="shared" si="12"/>
        <v>1072467.4919895281</v>
      </c>
      <c r="I39" s="194">
        <f t="shared" si="12"/>
        <v>1131373.4722588481</v>
      </c>
      <c r="J39" s="194">
        <f t="shared" si="12"/>
        <v>1145447.705069049</v>
      </c>
      <c r="K39" s="194">
        <f t="shared" si="12"/>
        <v>1302275.2178136511</v>
      </c>
      <c r="L39" s="194">
        <f t="shared" si="12"/>
        <v>1112956.579368413</v>
      </c>
      <c r="M39" s="194">
        <f t="shared" si="12"/>
        <v>1051358.075843482</v>
      </c>
      <c r="N39" s="194">
        <f t="shared" si="12"/>
        <v>909175.47613882506</v>
      </c>
      <c r="O39" s="194">
        <f t="shared" si="12"/>
        <v>882371.09153329697</v>
      </c>
      <c r="P39" s="195">
        <f t="shared" si="12"/>
        <v>12752900.148487445</v>
      </c>
      <c r="Q39" s="196">
        <f t="shared" si="12"/>
        <v>1302843.705069049</v>
      </c>
      <c r="R39" s="197">
        <f t="shared" si="8"/>
        <v>5.4661232811636588E-2</v>
      </c>
    </row>
    <row r="40" spans="1:18" ht="20.25" customHeight="1" x14ac:dyDescent="0.2">
      <c r="B40" s="198"/>
      <c r="C40" s="183"/>
      <c r="D40" s="188"/>
      <c r="E40" s="188"/>
      <c r="F40" s="188"/>
      <c r="G40" s="188"/>
      <c r="H40" s="188"/>
      <c r="I40" s="188"/>
      <c r="J40" s="188"/>
      <c r="K40" s="188"/>
      <c r="L40" s="188"/>
      <c r="M40" s="188"/>
      <c r="N40" s="188"/>
      <c r="O40" s="188"/>
      <c r="P40" s="189"/>
      <c r="Q40" s="190"/>
      <c r="R40" s="185"/>
    </row>
    <row r="41" spans="1:18" ht="20.25" customHeight="1" thickBot="1" x14ac:dyDescent="0.3">
      <c r="B41" s="199" t="s">
        <v>308</v>
      </c>
      <c r="C41" s="200"/>
      <c r="D41" s="201">
        <f t="shared" ref="D41:Q41" si="13">+D27+D39</f>
        <v>21627259.529221743</v>
      </c>
      <c r="E41" s="201">
        <f t="shared" si="13"/>
        <v>19807480.843071405</v>
      </c>
      <c r="F41" s="201">
        <f t="shared" si="13"/>
        <v>18529513.284027137</v>
      </c>
      <c r="G41" s="201">
        <f t="shared" si="13"/>
        <v>19254933.989027027</v>
      </c>
      <c r="H41" s="201">
        <f t="shared" si="13"/>
        <v>20815664.584315445</v>
      </c>
      <c r="I41" s="201">
        <f t="shared" si="13"/>
        <v>22217483.926324982</v>
      </c>
      <c r="J41" s="201">
        <f t="shared" si="13"/>
        <v>22547389.218574941</v>
      </c>
      <c r="K41" s="201">
        <f t="shared" si="13"/>
        <v>23248433.552253615</v>
      </c>
      <c r="L41" s="201">
        <f t="shared" si="13"/>
        <v>23569984.079190433</v>
      </c>
      <c r="M41" s="201">
        <f t="shared" si="13"/>
        <v>21441626.803648427</v>
      </c>
      <c r="N41" s="201">
        <f t="shared" si="13"/>
        <v>19333974.677619159</v>
      </c>
      <c r="O41" s="201">
        <f t="shared" si="13"/>
        <v>18313137.669462476</v>
      </c>
      <c r="P41" s="202">
        <f t="shared" si="13"/>
        <v>250706882.15673682</v>
      </c>
      <c r="Q41" s="203">
        <f t="shared" si="13"/>
        <v>23834875.981642559</v>
      </c>
      <c r="R41" s="204">
        <f>SUM(R27+R39)</f>
        <v>1</v>
      </c>
    </row>
    <row r="42" spans="1:18" ht="20.25" customHeight="1" thickTop="1" thickBot="1" x14ac:dyDescent="0.25">
      <c r="B42" s="205"/>
      <c r="C42" s="206"/>
      <c r="D42" s="207"/>
      <c r="E42" s="207"/>
      <c r="F42" s="207"/>
      <c r="G42" s="207"/>
      <c r="H42" s="207"/>
      <c r="I42" s="207"/>
      <c r="J42" s="207"/>
      <c r="K42" s="207"/>
      <c r="L42" s="207"/>
      <c r="M42" s="207"/>
      <c r="N42" s="207"/>
      <c r="O42" s="208"/>
      <c r="P42" s="208"/>
      <c r="Q42" s="207"/>
      <c r="R42" s="209"/>
    </row>
    <row r="43" spans="1:18" x14ac:dyDescent="0.2">
      <c r="D43" s="210"/>
      <c r="E43" s="210"/>
      <c r="F43" s="210"/>
      <c r="G43" s="210"/>
      <c r="H43" s="210"/>
      <c r="I43" s="210"/>
      <c r="J43" s="210"/>
      <c r="K43" s="210"/>
      <c r="L43" s="210"/>
      <c r="M43" s="210"/>
      <c r="N43" s="210"/>
      <c r="O43" s="210"/>
      <c r="P43" s="210"/>
      <c r="Q43" s="210"/>
    </row>
    <row r="44" spans="1:18" x14ac:dyDescent="0.2">
      <c r="D44" s="210"/>
      <c r="E44" s="210"/>
      <c r="F44" s="210"/>
      <c r="G44" s="210"/>
      <c r="H44" s="210"/>
      <c r="I44" s="210"/>
      <c r="J44" s="210"/>
      <c r="K44" s="210"/>
      <c r="L44" s="210"/>
      <c r="M44" s="210"/>
      <c r="N44" s="210"/>
      <c r="O44" s="210"/>
      <c r="P44" s="210"/>
      <c r="Q44" s="210"/>
    </row>
  </sheetData>
  <mergeCells count="1">
    <mergeCell ref="B8:C8"/>
  </mergeCells>
  <printOptions horizontalCentered="1"/>
  <pageMargins left="0.25" right="0.25" top="1" bottom="0.5" header="0.3" footer="0.3"/>
  <pageSetup scale="52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R47"/>
  <sheetViews>
    <sheetView showGridLines="0" zoomScale="75" zoomScaleNormal="75" workbookViewId="0">
      <selection activeCell="A2" sqref="A2"/>
    </sheetView>
  </sheetViews>
  <sheetFormatPr defaultColWidth="16.42578125" defaultRowHeight="14.25" x14ac:dyDescent="0.2"/>
  <cols>
    <col min="1" max="1" width="16.42578125" style="168"/>
    <col min="2" max="16384" width="16.42578125" style="170"/>
  </cols>
  <sheetData>
    <row r="1" spans="1:18" s="173" customFormat="1" ht="15" x14ac:dyDescent="0.25">
      <c r="A1" s="227" t="s">
        <v>371</v>
      </c>
      <c r="B1" s="224"/>
    </row>
    <row r="2" spans="1:18" s="173" customFormat="1" ht="15" x14ac:dyDescent="0.25">
      <c r="A2" s="227" t="s">
        <v>364</v>
      </c>
      <c r="B2" s="224"/>
    </row>
    <row r="3" spans="1:18" s="173" customFormat="1" ht="15" x14ac:dyDescent="0.25">
      <c r="A3" s="227"/>
    </row>
    <row r="4" spans="1:18" ht="22.5" customHeight="1" x14ac:dyDescent="0.25">
      <c r="B4" s="169" t="s">
        <v>336</v>
      </c>
      <c r="O4" s="171"/>
      <c r="R4" s="172" t="s">
        <v>330</v>
      </c>
    </row>
    <row r="5" spans="1:18" ht="22.5" customHeight="1" x14ac:dyDescent="0.25">
      <c r="B5" s="173" t="s">
        <v>263</v>
      </c>
      <c r="O5" s="171"/>
    </row>
    <row r="6" spans="1:18" x14ac:dyDescent="0.2">
      <c r="H6" s="171"/>
      <c r="J6" s="171"/>
      <c r="K6" s="171"/>
      <c r="L6" s="171"/>
      <c r="M6" s="171"/>
      <c r="N6" s="171"/>
      <c r="O6" s="171"/>
    </row>
    <row r="7" spans="1:18" ht="15" thickBot="1" x14ac:dyDescent="0.25"/>
    <row r="8" spans="1:18" ht="22.5" customHeight="1" thickBot="1" x14ac:dyDescent="0.3">
      <c r="A8" s="168" t="s">
        <v>264</v>
      </c>
      <c r="B8" s="246" t="s">
        <v>265</v>
      </c>
      <c r="C8" s="247"/>
      <c r="D8" s="174" t="s">
        <v>266</v>
      </c>
      <c r="E8" s="174" t="s">
        <v>267</v>
      </c>
      <c r="F8" s="174" t="s">
        <v>268</v>
      </c>
      <c r="G8" s="175" t="s">
        <v>269</v>
      </c>
      <c r="H8" s="175" t="s">
        <v>270</v>
      </c>
      <c r="I8" s="175" t="s">
        <v>271</v>
      </c>
      <c r="J8" s="175" t="s">
        <v>272</v>
      </c>
      <c r="K8" s="175" t="s">
        <v>273</v>
      </c>
      <c r="L8" s="175" t="s">
        <v>274</v>
      </c>
      <c r="M8" s="175" t="s">
        <v>275</v>
      </c>
      <c r="N8" s="174" t="s">
        <v>276</v>
      </c>
      <c r="O8" s="176" t="s">
        <v>277</v>
      </c>
      <c r="P8" s="178" t="s">
        <v>332</v>
      </c>
      <c r="Q8" s="179" t="s">
        <v>331</v>
      </c>
    </row>
    <row r="9" spans="1:18" ht="20.25" customHeight="1" x14ac:dyDescent="0.25">
      <c r="B9" s="180" t="s">
        <v>279</v>
      </c>
      <c r="C9" s="181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211"/>
      <c r="Q9" s="185"/>
    </row>
    <row r="10" spans="1:18" ht="20.25" customHeight="1" x14ac:dyDescent="0.2">
      <c r="A10" s="168" t="str">
        <f t="shared" ref="A10:A26" si="0">CONCATENATE($B10," -",TRIM($R$4))</f>
        <v>CILC-1D -AC:[Projected Sales (KWH)]</v>
      </c>
      <c r="B10" s="186" t="s">
        <v>5</v>
      </c>
      <c r="C10" s="187" t="s">
        <v>280</v>
      </c>
      <c r="D10" s="188">
        <v>230656851</v>
      </c>
      <c r="E10" s="188">
        <v>211876072</v>
      </c>
      <c r="F10" s="188">
        <v>213372667</v>
      </c>
      <c r="G10" s="188">
        <v>215260583</v>
      </c>
      <c r="H10" s="188">
        <v>222424945</v>
      </c>
      <c r="I10" s="188">
        <v>230224719</v>
      </c>
      <c r="J10" s="188">
        <v>237264076</v>
      </c>
      <c r="K10" s="188">
        <v>235706184</v>
      </c>
      <c r="L10" s="188">
        <v>233647948</v>
      </c>
      <c r="M10" s="188">
        <v>225918547</v>
      </c>
      <c r="N10" s="188">
        <v>215479927</v>
      </c>
      <c r="O10" s="188">
        <v>224480767</v>
      </c>
      <c r="P10" s="212">
        <f t="shared" ref="P10:P26" si="1">SUM(D10:O10)</f>
        <v>2696313286</v>
      </c>
      <c r="Q10" s="191">
        <f t="shared" ref="Q10:Q27" si="2">+P10/$P$41</f>
        <v>2.3687153703706408E-2</v>
      </c>
    </row>
    <row r="11" spans="1:18" ht="20.25" customHeight="1" x14ac:dyDescent="0.2">
      <c r="A11" s="168" t="str">
        <f t="shared" si="0"/>
        <v>CILC-1G -AC:[Projected Sales (KWH)]</v>
      </c>
      <c r="B11" s="186" t="s">
        <v>6</v>
      </c>
      <c r="C11" s="187" t="s">
        <v>281</v>
      </c>
      <c r="D11" s="188">
        <v>8785708</v>
      </c>
      <c r="E11" s="188">
        <v>8104147</v>
      </c>
      <c r="F11" s="188">
        <v>8062011</v>
      </c>
      <c r="G11" s="188">
        <v>8102750</v>
      </c>
      <c r="H11" s="188">
        <v>8401955</v>
      </c>
      <c r="I11" s="188">
        <v>8611454</v>
      </c>
      <c r="J11" s="188">
        <v>8811578</v>
      </c>
      <c r="K11" s="188">
        <v>8834723</v>
      </c>
      <c r="L11" s="188">
        <v>8804595</v>
      </c>
      <c r="M11" s="188">
        <v>8543232</v>
      </c>
      <c r="N11" s="188">
        <v>8233626</v>
      </c>
      <c r="O11" s="188">
        <v>8680627</v>
      </c>
      <c r="P11" s="212">
        <f t="shared" si="1"/>
        <v>101976406</v>
      </c>
      <c r="Q11" s="191">
        <f t="shared" si="2"/>
        <v>8.9586429574622082E-4</v>
      </c>
    </row>
    <row r="12" spans="1:18" ht="20.25" customHeight="1" x14ac:dyDescent="0.2">
      <c r="A12" s="168" t="str">
        <f t="shared" si="0"/>
        <v>CILC-1T -AC:[Projected Sales (KWH)]</v>
      </c>
      <c r="B12" s="186" t="s">
        <v>7</v>
      </c>
      <c r="C12" s="187" t="s">
        <v>282</v>
      </c>
      <c r="D12" s="188">
        <v>125741821</v>
      </c>
      <c r="E12" s="188">
        <v>117225159</v>
      </c>
      <c r="F12" s="188">
        <v>118797527</v>
      </c>
      <c r="G12" s="188">
        <v>123511048</v>
      </c>
      <c r="H12" s="188">
        <v>122864650</v>
      </c>
      <c r="I12" s="188">
        <v>127598898</v>
      </c>
      <c r="J12" s="188">
        <v>128249484</v>
      </c>
      <c r="K12" s="188">
        <v>127424838</v>
      </c>
      <c r="L12" s="188">
        <v>130569867</v>
      </c>
      <c r="M12" s="188">
        <v>126851807</v>
      </c>
      <c r="N12" s="188">
        <v>129839354</v>
      </c>
      <c r="O12" s="188">
        <v>130247118</v>
      </c>
      <c r="P12" s="212">
        <f t="shared" si="1"/>
        <v>1508921571</v>
      </c>
      <c r="Q12" s="191">
        <f t="shared" si="2"/>
        <v>1.3255899217905327E-2</v>
      </c>
    </row>
    <row r="13" spans="1:18" ht="20.25" customHeight="1" x14ac:dyDescent="0.2">
      <c r="A13" s="168" t="str">
        <f t="shared" si="0"/>
        <v>GS(T)-1 -AC:[Projected Sales (KWH)]</v>
      </c>
      <c r="B13" s="186" t="s">
        <v>171</v>
      </c>
      <c r="C13" s="187" t="s">
        <v>283</v>
      </c>
      <c r="D13" s="188">
        <v>473690687</v>
      </c>
      <c r="E13" s="188">
        <v>421611515</v>
      </c>
      <c r="F13" s="188">
        <v>437422111</v>
      </c>
      <c r="G13" s="188">
        <v>454608687</v>
      </c>
      <c r="H13" s="188">
        <v>508443465</v>
      </c>
      <c r="I13" s="188">
        <v>543837941</v>
      </c>
      <c r="J13" s="188">
        <v>573973111</v>
      </c>
      <c r="K13" s="188">
        <v>574110725</v>
      </c>
      <c r="L13" s="188">
        <v>558558104</v>
      </c>
      <c r="M13" s="188">
        <v>518125759</v>
      </c>
      <c r="N13" s="188">
        <v>466922366</v>
      </c>
      <c r="O13" s="188">
        <v>464970657</v>
      </c>
      <c r="P13" s="212">
        <f t="shared" si="1"/>
        <v>5996275128</v>
      </c>
      <c r="Q13" s="191">
        <f t="shared" si="2"/>
        <v>5.2677369259770734E-2</v>
      </c>
    </row>
    <row r="14" spans="1:18" ht="20.25" customHeight="1" x14ac:dyDescent="0.2">
      <c r="A14" s="168" t="str">
        <f t="shared" si="0"/>
        <v>GSCU-1 -AC:[Projected Sales (KWH)]</v>
      </c>
      <c r="B14" s="186" t="s">
        <v>12</v>
      </c>
      <c r="C14" s="187" t="s">
        <v>284</v>
      </c>
      <c r="D14" s="188">
        <v>5819546</v>
      </c>
      <c r="E14" s="188">
        <v>5825464</v>
      </c>
      <c r="F14" s="188">
        <v>5831382</v>
      </c>
      <c r="G14" s="188">
        <v>5837838</v>
      </c>
      <c r="H14" s="188">
        <v>5844294</v>
      </c>
      <c r="I14" s="188">
        <v>5850750</v>
      </c>
      <c r="J14" s="188">
        <v>5857206</v>
      </c>
      <c r="K14" s="188">
        <v>5863124</v>
      </c>
      <c r="L14" s="188">
        <v>5869580</v>
      </c>
      <c r="M14" s="188">
        <v>5875498</v>
      </c>
      <c r="N14" s="188">
        <v>5880878</v>
      </c>
      <c r="O14" s="188">
        <v>5886258</v>
      </c>
      <c r="P14" s="212">
        <f t="shared" si="1"/>
        <v>70241818</v>
      </c>
      <c r="Q14" s="191">
        <f t="shared" si="2"/>
        <v>6.1707545188937349E-4</v>
      </c>
    </row>
    <row r="15" spans="1:18" ht="20.25" customHeight="1" x14ac:dyDescent="0.2">
      <c r="A15" s="168" t="str">
        <f t="shared" si="0"/>
        <v>GSD(T)-1 -AC:[Projected Sales (KWH)]</v>
      </c>
      <c r="B15" s="186" t="s">
        <v>170</v>
      </c>
      <c r="C15" s="187" t="s">
        <v>285</v>
      </c>
      <c r="D15" s="188">
        <v>2123469328</v>
      </c>
      <c r="E15" s="188">
        <v>1869180600</v>
      </c>
      <c r="F15" s="188">
        <v>1927333382</v>
      </c>
      <c r="G15" s="188">
        <v>1989380205</v>
      </c>
      <c r="H15" s="188">
        <v>2188866120</v>
      </c>
      <c r="I15" s="188">
        <v>2306402340</v>
      </c>
      <c r="J15" s="188">
        <v>2395456712</v>
      </c>
      <c r="K15" s="188">
        <v>2389352332</v>
      </c>
      <c r="L15" s="188">
        <v>2370531076</v>
      </c>
      <c r="M15" s="188">
        <v>2238271858</v>
      </c>
      <c r="N15" s="188">
        <v>2060345875</v>
      </c>
      <c r="O15" s="188">
        <v>2085643137</v>
      </c>
      <c r="P15" s="212">
        <f t="shared" si="1"/>
        <v>25944232965</v>
      </c>
      <c r="Q15" s="191">
        <f t="shared" si="2"/>
        <v>0.22792048578242316</v>
      </c>
    </row>
    <row r="16" spans="1:18" ht="20.25" customHeight="1" x14ac:dyDescent="0.2">
      <c r="A16" s="168" t="str">
        <f t="shared" si="0"/>
        <v>GSLD(T)-1 -AC:[Projected Sales (KWH)]</v>
      </c>
      <c r="B16" s="186" t="s">
        <v>172</v>
      </c>
      <c r="C16" s="187" t="s">
        <v>286</v>
      </c>
      <c r="D16" s="188">
        <v>868723588</v>
      </c>
      <c r="E16" s="188">
        <v>782118963</v>
      </c>
      <c r="F16" s="188">
        <v>802200697</v>
      </c>
      <c r="G16" s="188">
        <v>817574217</v>
      </c>
      <c r="H16" s="188">
        <v>897172761</v>
      </c>
      <c r="I16" s="188">
        <v>923686824</v>
      </c>
      <c r="J16" s="188">
        <v>939503146</v>
      </c>
      <c r="K16" s="188">
        <v>946064723</v>
      </c>
      <c r="L16" s="188">
        <v>950178060</v>
      </c>
      <c r="M16" s="188">
        <v>915153555</v>
      </c>
      <c r="N16" s="188">
        <v>844492845</v>
      </c>
      <c r="O16" s="188">
        <v>867817503</v>
      </c>
      <c r="P16" s="212">
        <f t="shared" si="1"/>
        <v>10554686882</v>
      </c>
      <c r="Q16" s="191">
        <f t="shared" si="2"/>
        <v>9.2723086655601542E-2</v>
      </c>
    </row>
    <row r="17" spans="1:17" ht="20.25" customHeight="1" x14ac:dyDescent="0.2">
      <c r="A17" s="168" t="str">
        <f t="shared" si="0"/>
        <v>GSLD(T)-2 -AC:[Projected Sales (KWH)]</v>
      </c>
      <c r="B17" s="186" t="s">
        <v>174</v>
      </c>
      <c r="C17" s="187" t="s">
        <v>287</v>
      </c>
      <c r="D17" s="188">
        <v>213910248</v>
      </c>
      <c r="E17" s="188">
        <v>188526424</v>
      </c>
      <c r="F17" s="188">
        <v>193481116</v>
      </c>
      <c r="G17" s="188">
        <v>195173859</v>
      </c>
      <c r="H17" s="188">
        <v>208978299</v>
      </c>
      <c r="I17" s="188">
        <v>220412399</v>
      </c>
      <c r="J17" s="188">
        <v>227239821</v>
      </c>
      <c r="K17" s="188">
        <v>230035155</v>
      </c>
      <c r="L17" s="188">
        <v>223579442</v>
      </c>
      <c r="M17" s="188">
        <v>214394457</v>
      </c>
      <c r="N17" s="188">
        <v>202236200</v>
      </c>
      <c r="O17" s="188">
        <v>208157478</v>
      </c>
      <c r="P17" s="212">
        <f t="shared" si="1"/>
        <v>2526124898</v>
      </c>
      <c r="Q17" s="191">
        <f t="shared" si="2"/>
        <v>2.2192046096562414E-2</v>
      </c>
    </row>
    <row r="18" spans="1:17" ht="20.25" customHeight="1" x14ac:dyDescent="0.2">
      <c r="A18" s="168" t="str">
        <f t="shared" si="0"/>
        <v>GSLD(T)-3 -AC:[Projected Sales (KWH)]</v>
      </c>
      <c r="B18" s="186" t="s">
        <v>175</v>
      </c>
      <c r="C18" s="187" t="s">
        <v>288</v>
      </c>
      <c r="D18" s="188">
        <v>15147566</v>
      </c>
      <c r="E18" s="188">
        <v>16443816</v>
      </c>
      <c r="F18" s="188">
        <v>14963155</v>
      </c>
      <c r="G18" s="188">
        <v>15211070</v>
      </c>
      <c r="H18" s="188">
        <v>16121933</v>
      </c>
      <c r="I18" s="188">
        <v>16109583</v>
      </c>
      <c r="J18" s="188">
        <v>13749674</v>
      </c>
      <c r="K18" s="188">
        <v>14212855</v>
      </c>
      <c r="L18" s="188">
        <v>12827473</v>
      </c>
      <c r="M18" s="188">
        <v>13200248</v>
      </c>
      <c r="N18" s="188">
        <v>12009688</v>
      </c>
      <c r="O18" s="188">
        <v>13044653</v>
      </c>
      <c r="P18" s="212">
        <f t="shared" si="1"/>
        <v>173041714</v>
      </c>
      <c r="Q18" s="191">
        <f t="shared" si="2"/>
        <v>1.5201741199560314E-3</v>
      </c>
    </row>
    <row r="19" spans="1:17" ht="20.25" customHeight="1" x14ac:dyDescent="0.2">
      <c r="A19" s="168" t="str">
        <f t="shared" si="0"/>
        <v>MET -AC:[Projected Sales (KWH)]</v>
      </c>
      <c r="B19" s="186" t="s">
        <v>20</v>
      </c>
      <c r="C19" s="187" t="s">
        <v>289</v>
      </c>
      <c r="D19" s="188">
        <v>7722488</v>
      </c>
      <c r="E19" s="188">
        <v>7033163</v>
      </c>
      <c r="F19" s="188">
        <v>6654900</v>
      </c>
      <c r="G19" s="188">
        <v>7772538</v>
      </c>
      <c r="H19" s="188">
        <v>7766500</v>
      </c>
      <c r="I19" s="188">
        <v>7705775</v>
      </c>
      <c r="J19" s="188">
        <v>8084445</v>
      </c>
      <c r="K19" s="188">
        <v>8169352</v>
      </c>
      <c r="L19" s="188">
        <v>8099506</v>
      </c>
      <c r="M19" s="188">
        <v>8011486</v>
      </c>
      <c r="N19" s="188">
        <v>7259718</v>
      </c>
      <c r="O19" s="188">
        <v>6928425</v>
      </c>
      <c r="P19" s="212">
        <f t="shared" si="1"/>
        <v>91208296</v>
      </c>
      <c r="Q19" s="191">
        <f t="shared" si="2"/>
        <v>8.0126628371520413E-4</v>
      </c>
    </row>
    <row r="20" spans="1:17" ht="20.25" customHeight="1" x14ac:dyDescent="0.2">
      <c r="A20" s="168" t="str">
        <f t="shared" si="0"/>
        <v>OL-1 -AC:[Projected Sales (KWH)]</v>
      </c>
      <c r="B20" s="186" t="s">
        <v>21</v>
      </c>
      <c r="C20" s="187" t="s">
        <v>166</v>
      </c>
      <c r="D20" s="188">
        <v>8180684</v>
      </c>
      <c r="E20" s="188">
        <v>8176620</v>
      </c>
      <c r="F20" s="188">
        <v>8172556</v>
      </c>
      <c r="G20" s="188">
        <v>8168492</v>
      </c>
      <c r="H20" s="188">
        <v>8164428</v>
      </c>
      <c r="I20" s="188">
        <v>8160364</v>
      </c>
      <c r="J20" s="188">
        <v>8156300</v>
      </c>
      <c r="K20" s="188">
        <v>8152236</v>
      </c>
      <c r="L20" s="188">
        <v>8148172</v>
      </c>
      <c r="M20" s="188">
        <v>8144108</v>
      </c>
      <c r="N20" s="188">
        <v>8140044</v>
      </c>
      <c r="O20" s="188">
        <v>8135980</v>
      </c>
      <c r="P20" s="212">
        <f t="shared" si="1"/>
        <v>97899984</v>
      </c>
      <c r="Q20" s="191">
        <f t="shared" si="2"/>
        <v>8.600528657553031E-4</v>
      </c>
    </row>
    <row r="21" spans="1:17" ht="20.25" customHeight="1" x14ac:dyDescent="0.2">
      <c r="A21" s="168" t="str">
        <f t="shared" si="0"/>
        <v>OS-2 -AC:[Projected Sales (KWH)]</v>
      </c>
      <c r="B21" s="186" t="s">
        <v>22</v>
      </c>
      <c r="C21" s="187" t="s">
        <v>290</v>
      </c>
      <c r="D21" s="188">
        <v>868047</v>
      </c>
      <c r="E21" s="188">
        <v>980593</v>
      </c>
      <c r="F21" s="188">
        <v>1051238</v>
      </c>
      <c r="G21" s="188">
        <v>908437</v>
      </c>
      <c r="H21" s="188">
        <v>861058</v>
      </c>
      <c r="I21" s="188">
        <v>823754</v>
      </c>
      <c r="J21" s="188">
        <v>714380</v>
      </c>
      <c r="K21" s="188">
        <v>720433</v>
      </c>
      <c r="L21" s="188">
        <v>908768</v>
      </c>
      <c r="M21" s="188">
        <v>936451</v>
      </c>
      <c r="N21" s="188">
        <v>1075889</v>
      </c>
      <c r="O21" s="188">
        <v>944265</v>
      </c>
      <c r="P21" s="212">
        <f t="shared" si="1"/>
        <v>10793313</v>
      </c>
      <c r="Q21" s="191">
        <f t="shared" si="2"/>
        <v>9.4819420773796734E-5</v>
      </c>
    </row>
    <row r="22" spans="1:17" ht="20.25" customHeight="1" x14ac:dyDescent="0.2">
      <c r="A22" s="168" t="str">
        <f t="shared" si="0"/>
        <v>RS(T)-1 -AC:[Projected Sales (KWH)]</v>
      </c>
      <c r="B22" s="186" t="s">
        <v>169</v>
      </c>
      <c r="C22" s="187" t="s">
        <v>291</v>
      </c>
      <c r="D22" s="188">
        <v>4460041230</v>
      </c>
      <c r="E22" s="188">
        <v>3977216214</v>
      </c>
      <c r="F22" s="188">
        <v>3903146749</v>
      </c>
      <c r="G22" s="188">
        <v>4004975951</v>
      </c>
      <c r="H22" s="188">
        <v>4668584386</v>
      </c>
      <c r="I22" s="188">
        <v>5328465086</v>
      </c>
      <c r="J22" s="188">
        <v>5799292764</v>
      </c>
      <c r="K22" s="188">
        <v>5929843448</v>
      </c>
      <c r="L22" s="188">
        <v>5742776549</v>
      </c>
      <c r="M22" s="188">
        <v>5171884807</v>
      </c>
      <c r="N22" s="188">
        <v>4277231081</v>
      </c>
      <c r="O22" s="188">
        <v>4111934696</v>
      </c>
      <c r="P22" s="212">
        <f t="shared" si="1"/>
        <v>57375392961</v>
      </c>
      <c r="Q22" s="191">
        <f t="shared" si="2"/>
        <v>0.50404370995550618</v>
      </c>
    </row>
    <row r="23" spans="1:17" ht="20.25" customHeight="1" x14ac:dyDescent="0.2">
      <c r="A23" s="168" t="str">
        <f t="shared" si="0"/>
        <v>SL-1 -AC:[Projected Sales (KWH)]</v>
      </c>
      <c r="B23" s="186" t="s">
        <v>27</v>
      </c>
      <c r="C23" s="187" t="s">
        <v>292</v>
      </c>
      <c r="D23" s="188">
        <v>49082974</v>
      </c>
      <c r="E23" s="188">
        <v>45454625</v>
      </c>
      <c r="F23" s="188">
        <v>45725768</v>
      </c>
      <c r="G23" s="188">
        <v>47207429</v>
      </c>
      <c r="H23" s="188">
        <v>47034472</v>
      </c>
      <c r="I23" s="188">
        <v>44504140</v>
      </c>
      <c r="J23" s="188">
        <v>46026902</v>
      </c>
      <c r="K23" s="188">
        <v>52458185</v>
      </c>
      <c r="L23" s="188">
        <v>46534473</v>
      </c>
      <c r="M23" s="188">
        <v>43901519</v>
      </c>
      <c r="N23" s="188">
        <v>43452366</v>
      </c>
      <c r="O23" s="188">
        <v>49901792</v>
      </c>
      <c r="P23" s="212">
        <f t="shared" si="1"/>
        <v>561284645</v>
      </c>
      <c r="Q23" s="191">
        <f t="shared" si="2"/>
        <v>4.9308942424004677E-3</v>
      </c>
    </row>
    <row r="24" spans="1:17" ht="20.25" customHeight="1" x14ac:dyDescent="0.2">
      <c r="A24" s="168" t="str">
        <f t="shared" si="0"/>
        <v>SL-2 -AC:[Projected Sales (KWH)]</v>
      </c>
      <c r="B24" s="186" t="s">
        <v>28</v>
      </c>
      <c r="C24" s="187" t="s">
        <v>293</v>
      </c>
      <c r="D24" s="188">
        <v>2699417</v>
      </c>
      <c r="E24" s="188">
        <v>2705431</v>
      </c>
      <c r="F24" s="188">
        <v>2710238</v>
      </c>
      <c r="G24" s="188">
        <v>2716256</v>
      </c>
      <c r="H24" s="188">
        <v>2721974</v>
      </c>
      <c r="I24" s="188">
        <v>2729808</v>
      </c>
      <c r="J24" s="188">
        <v>2735836</v>
      </c>
      <c r="K24" s="188">
        <v>2738850</v>
      </c>
      <c r="L24" s="188">
        <v>2743058</v>
      </c>
      <c r="M24" s="188">
        <v>2747892</v>
      </c>
      <c r="N24" s="188">
        <v>2754833</v>
      </c>
      <c r="O24" s="188">
        <v>2759033</v>
      </c>
      <c r="P24" s="212">
        <f t="shared" si="1"/>
        <v>32762626</v>
      </c>
      <c r="Q24" s="191">
        <f t="shared" si="2"/>
        <v>2.8782017350451457E-4</v>
      </c>
    </row>
    <row r="25" spans="1:17" ht="20.25" customHeight="1" x14ac:dyDescent="0.2">
      <c r="A25" s="168" t="str">
        <f t="shared" si="0"/>
        <v>SST-DST -AC:[Projected Sales (KWH)]</v>
      </c>
      <c r="B25" s="186" t="s">
        <v>29</v>
      </c>
      <c r="C25" s="187" t="s">
        <v>294</v>
      </c>
      <c r="D25" s="188">
        <v>602856</v>
      </c>
      <c r="E25" s="188">
        <v>685784</v>
      </c>
      <c r="F25" s="188">
        <v>666585</v>
      </c>
      <c r="G25" s="188">
        <v>1230699</v>
      </c>
      <c r="H25" s="188">
        <v>1462083</v>
      </c>
      <c r="I25" s="188">
        <v>1187857</v>
      </c>
      <c r="J25" s="188">
        <v>1087713</v>
      </c>
      <c r="K25" s="188">
        <v>1181803</v>
      </c>
      <c r="L25" s="188">
        <v>1205075</v>
      </c>
      <c r="M25" s="188">
        <v>1239312</v>
      </c>
      <c r="N25" s="188">
        <v>799615</v>
      </c>
      <c r="O25" s="188">
        <v>507544</v>
      </c>
      <c r="P25" s="212">
        <f t="shared" si="1"/>
        <v>11856926</v>
      </c>
      <c r="Q25" s="191">
        <f t="shared" si="2"/>
        <v>1.0416327734383044E-4</v>
      </c>
    </row>
    <row r="26" spans="1:17" ht="20.25" customHeight="1" x14ac:dyDescent="0.2">
      <c r="A26" s="168" t="str">
        <f t="shared" si="0"/>
        <v>SST-TST -AC:[Projected Sales (KWH)]</v>
      </c>
      <c r="B26" s="186" t="s">
        <v>30</v>
      </c>
      <c r="C26" s="187" t="s">
        <v>295</v>
      </c>
      <c r="D26" s="188">
        <v>5811710</v>
      </c>
      <c r="E26" s="188">
        <v>6787344</v>
      </c>
      <c r="F26" s="188">
        <v>8318048</v>
      </c>
      <c r="G26" s="188">
        <v>7683818</v>
      </c>
      <c r="H26" s="188">
        <v>10687136</v>
      </c>
      <c r="I26" s="188">
        <v>7415962</v>
      </c>
      <c r="J26" s="188">
        <v>7202482</v>
      </c>
      <c r="K26" s="188">
        <v>6421378</v>
      </c>
      <c r="L26" s="188">
        <v>4740820</v>
      </c>
      <c r="M26" s="188">
        <v>9837782</v>
      </c>
      <c r="N26" s="188">
        <v>9758504</v>
      </c>
      <c r="O26" s="188">
        <v>5002770</v>
      </c>
      <c r="P26" s="212">
        <f t="shared" si="1"/>
        <v>89667754</v>
      </c>
      <c r="Q26" s="191">
        <f t="shared" si="2"/>
        <v>7.8773259854201345E-4</v>
      </c>
    </row>
    <row r="27" spans="1:17" ht="20.25" customHeight="1" x14ac:dyDescent="0.25">
      <c r="B27" s="192" t="s">
        <v>296</v>
      </c>
      <c r="C27" s="193"/>
      <c r="D27" s="194">
        <f>SUM(D10:D26)</f>
        <v>8600954749</v>
      </c>
      <c r="E27" s="194">
        <f t="shared" ref="E27:P27" si="3">SUM(E10:E26)</f>
        <v>7669951934</v>
      </c>
      <c r="F27" s="194">
        <f t="shared" si="3"/>
        <v>7697910130</v>
      </c>
      <c r="G27" s="194">
        <f t="shared" si="3"/>
        <v>7905323877</v>
      </c>
      <c r="H27" s="194">
        <f t="shared" si="3"/>
        <v>8926400459</v>
      </c>
      <c r="I27" s="194">
        <f t="shared" si="3"/>
        <v>9783727654</v>
      </c>
      <c r="J27" s="194">
        <f t="shared" si="3"/>
        <v>10403405630</v>
      </c>
      <c r="K27" s="194">
        <f t="shared" si="3"/>
        <v>10541290344</v>
      </c>
      <c r="L27" s="194">
        <f t="shared" si="3"/>
        <v>10309722566</v>
      </c>
      <c r="M27" s="194">
        <f t="shared" si="3"/>
        <v>9513038318</v>
      </c>
      <c r="N27" s="194">
        <f t="shared" si="3"/>
        <v>8295912809</v>
      </c>
      <c r="O27" s="194">
        <f t="shared" si="3"/>
        <v>8195042703</v>
      </c>
      <c r="P27" s="213">
        <f t="shared" si="3"/>
        <v>107842681173</v>
      </c>
      <c r="Q27" s="197">
        <f t="shared" si="2"/>
        <v>0.94739961340110246</v>
      </c>
    </row>
    <row r="28" spans="1:17" ht="20.25" customHeight="1" x14ac:dyDescent="0.2">
      <c r="B28" s="198"/>
      <c r="C28" s="183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  <c r="O28" s="188"/>
      <c r="P28" s="212"/>
      <c r="Q28" s="185"/>
    </row>
    <row r="29" spans="1:17" ht="20.25" customHeight="1" x14ac:dyDescent="0.25">
      <c r="B29" s="180" t="s">
        <v>297</v>
      </c>
      <c r="C29" s="181"/>
      <c r="D29" s="188"/>
      <c r="E29" s="188"/>
      <c r="F29" s="188"/>
      <c r="G29" s="188"/>
      <c r="H29" s="188"/>
      <c r="I29" s="188"/>
      <c r="J29" s="188"/>
      <c r="K29" s="188"/>
      <c r="L29" s="188"/>
      <c r="M29" s="188"/>
      <c r="N29" s="188"/>
      <c r="O29" s="188"/>
      <c r="P29" s="212"/>
      <c r="Q29" s="185"/>
    </row>
    <row r="30" spans="1:17" ht="20.25" customHeight="1" x14ac:dyDescent="0.2">
      <c r="A30" s="168" t="str">
        <f t="shared" ref="A30:A38" si="4">CONCATENATE($B30," -",TRIM($R$4))</f>
        <v>BLOUNTSTOWN -AC:[Projected Sales (KWH)]</v>
      </c>
      <c r="B30" s="186" t="s">
        <v>245</v>
      </c>
      <c r="C30" s="187" t="s">
        <v>298</v>
      </c>
      <c r="D30" s="188">
        <v>2927123.9982525702</v>
      </c>
      <c r="E30" s="188">
        <v>0</v>
      </c>
      <c r="F30" s="188">
        <v>0</v>
      </c>
      <c r="G30" s="188">
        <v>0</v>
      </c>
      <c r="H30" s="188">
        <v>0</v>
      </c>
      <c r="I30" s="188">
        <v>0</v>
      </c>
      <c r="J30" s="188">
        <v>0</v>
      </c>
      <c r="K30" s="188">
        <v>0</v>
      </c>
      <c r="L30" s="188">
        <v>0</v>
      </c>
      <c r="M30" s="188">
        <v>0</v>
      </c>
      <c r="N30" s="188">
        <v>0</v>
      </c>
      <c r="O30" s="188">
        <v>0</v>
      </c>
      <c r="P30" s="212">
        <f t="shared" ref="P30" si="5">SUM(D30:O30)</f>
        <v>2927123.9982525702</v>
      </c>
      <c r="Q30" s="191">
        <f>+P30/$P$41</f>
        <v>2.5714829362160506E-5</v>
      </c>
    </row>
    <row r="31" spans="1:17" ht="20.25" customHeight="1" x14ac:dyDescent="0.2">
      <c r="A31" s="168" t="str">
        <f t="shared" si="4"/>
        <v>FKEC -AC:[Projected Sales (KWH)]</v>
      </c>
      <c r="B31" s="186" t="s">
        <v>246</v>
      </c>
      <c r="C31" s="187" t="s">
        <v>299</v>
      </c>
      <c r="D31" s="188">
        <v>56726099.686268002</v>
      </c>
      <c r="E31" s="188">
        <v>56898680.0686526</v>
      </c>
      <c r="F31" s="188">
        <v>53651942.578917503</v>
      </c>
      <c r="G31" s="188">
        <v>61310285.553964101</v>
      </c>
      <c r="H31" s="188">
        <v>64372571.632696897</v>
      </c>
      <c r="I31" s="188">
        <v>72852357.595788598</v>
      </c>
      <c r="J31" s="188">
        <v>79286019.678150997</v>
      </c>
      <c r="K31" s="188">
        <v>86702208.746304601</v>
      </c>
      <c r="L31" s="188">
        <v>85960980.486881107</v>
      </c>
      <c r="M31" s="188">
        <v>73136975.095376104</v>
      </c>
      <c r="N31" s="188">
        <v>67623525.068842202</v>
      </c>
      <c r="O31" s="188">
        <v>55652102.077390403</v>
      </c>
      <c r="P31" s="212">
        <f t="shared" ref="P31:P37" si="6">SUM(D31:O31)</f>
        <v>814173748.26923323</v>
      </c>
      <c r="Q31" s="191">
        <f>+P31/$P$41</f>
        <v>7.1525289056399719E-3</v>
      </c>
    </row>
    <row r="32" spans="1:17" ht="20.25" customHeight="1" x14ac:dyDescent="0.2">
      <c r="A32" s="168" t="str">
        <f t="shared" si="4"/>
        <v>HOMESTEAD -AC:[Projected Sales (KWH)]</v>
      </c>
      <c r="B32" s="186" t="s">
        <v>247</v>
      </c>
      <c r="C32" s="187" t="s">
        <v>300</v>
      </c>
      <c r="D32" s="188">
        <v>0</v>
      </c>
      <c r="E32" s="188">
        <v>84000</v>
      </c>
      <c r="F32" s="188">
        <v>0</v>
      </c>
      <c r="G32" s="188">
        <v>0</v>
      </c>
      <c r="H32" s="188">
        <v>0</v>
      </c>
      <c r="I32" s="188">
        <v>0</v>
      </c>
      <c r="J32" s="188">
        <v>0</v>
      </c>
      <c r="K32" s="188">
        <v>0</v>
      </c>
      <c r="L32" s="188">
        <v>84000</v>
      </c>
      <c r="M32" s="188">
        <v>0</v>
      </c>
      <c r="N32" s="188">
        <v>0</v>
      </c>
      <c r="O32" s="188">
        <v>0</v>
      </c>
      <c r="P32" s="212">
        <f t="shared" si="6"/>
        <v>168000</v>
      </c>
      <c r="Q32" s="191">
        <f t="shared" ref="Q32:Q36" si="7">+P32/$P$41</f>
        <v>1.4758825848928732E-6</v>
      </c>
    </row>
    <row r="33" spans="1:17" ht="20.25" customHeight="1" x14ac:dyDescent="0.2">
      <c r="A33" s="168" t="str">
        <f t="shared" si="4"/>
        <v>LCEC -AC:[Projected Sales (KWH)]</v>
      </c>
      <c r="B33" s="186" t="s">
        <v>34</v>
      </c>
      <c r="C33" s="187" t="s">
        <v>301</v>
      </c>
      <c r="D33" s="188">
        <v>286734034</v>
      </c>
      <c r="E33" s="188">
        <v>283976641</v>
      </c>
      <c r="F33" s="188">
        <v>275764422</v>
      </c>
      <c r="G33" s="188">
        <v>327267208</v>
      </c>
      <c r="H33" s="188">
        <v>357933924</v>
      </c>
      <c r="I33" s="188">
        <v>362782752</v>
      </c>
      <c r="J33" s="188">
        <v>374673121</v>
      </c>
      <c r="K33" s="188">
        <v>352543565</v>
      </c>
      <c r="L33" s="188">
        <v>378177521</v>
      </c>
      <c r="M33" s="188">
        <v>373296754</v>
      </c>
      <c r="N33" s="188">
        <v>341336638</v>
      </c>
      <c r="O33" s="188">
        <v>310714022</v>
      </c>
      <c r="P33" s="212">
        <f t="shared" si="6"/>
        <v>4025200602</v>
      </c>
      <c r="Q33" s="191">
        <f t="shared" si="7"/>
        <v>3.5361449221381604E-2</v>
      </c>
    </row>
    <row r="34" spans="1:17" ht="20.25" customHeight="1" x14ac:dyDescent="0.2">
      <c r="A34" s="168" t="str">
        <f t="shared" si="4"/>
        <v>NEW SMRYNA BEACH -AC:[Projected Sales (KWH)]</v>
      </c>
      <c r="B34" s="186" t="s">
        <v>248</v>
      </c>
      <c r="C34" s="187" t="s">
        <v>302</v>
      </c>
      <c r="D34" s="188">
        <v>18600000</v>
      </c>
      <c r="E34" s="188">
        <v>180000</v>
      </c>
      <c r="F34" s="188">
        <v>0</v>
      </c>
      <c r="G34" s="188">
        <v>0</v>
      </c>
      <c r="H34" s="188">
        <v>0</v>
      </c>
      <c r="I34" s="188">
        <v>0</v>
      </c>
      <c r="J34" s="188">
        <v>0</v>
      </c>
      <c r="K34" s="188">
        <v>0</v>
      </c>
      <c r="L34" s="188">
        <v>180000</v>
      </c>
      <c r="M34" s="188">
        <v>0</v>
      </c>
      <c r="N34" s="188">
        <v>0</v>
      </c>
      <c r="O34" s="188">
        <v>0</v>
      </c>
      <c r="P34" s="212">
        <f t="shared" si="6"/>
        <v>18960000</v>
      </c>
      <c r="Q34" s="191">
        <f t="shared" si="7"/>
        <v>1.6656389172362425E-4</v>
      </c>
    </row>
    <row r="35" spans="1:17" ht="20.25" customHeight="1" x14ac:dyDescent="0.2">
      <c r="A35" s="168" t="str">
        <f t="shared" si="4"/>
        <v>QUINCY -AC:[Projected Sales (KWH)]</v>
      </c>
      <c r="B35" s="186" t="s">
        <v>249</v>
      </c>
      <c r="C35" s="187" t="s">
        <v>303</v>
      </c>
      <c r="D35" s="188">
        <v>0</v>
      </c>
      <c r="E35" s="188">
        <v>76000</v>
      </c>
      <c r="F35" s="188">
        <v>0</v>
      </c>
      <c r="G35" s="188">
        <v>0</v>
      </c>
      <c r="H35" s="188">
        <v>0</v>
      </c>
      <c r="I35" s="188">
        <v>0</v>
      </c>
      <c r="J35" s="188">
        <v>0</v>
      </c>
      <c r="K35" s="188">
        <v>0</v>
      </c>
      <c r="L35" s="188">
        <v>76000</v>
      </c>
      <c r="M35" s="188">
        <v>0</v>
      </c>
      <c r="N35" s="188">
        <v>0</v>
      </c>
      <c r="O35" s="188">
        <v>0</v>
      </c>
      <c r="P35" s="212">
        <f t="shared" si="6"/>
        <v>152000</v>
      </c>
      <c r="Q35" s="191">
        <f t="shared" si="7"/>
        <v>1.3353223387125994E-6</v>
      </c>
    </row>
    <row r="36" spans="1:17" ht="20.25" customHeight="1" x14ac:dyDescent="0.2">
      <c r="A36" s="168" t="str">
        <f t="shared" si="4"/>
        <v>SEMINOLE -AC:[Projected Sales (KWH)]</v>
      </c>
      <c r="B36" s="186" t="s">
        <v>33</v>
      </c>
      <c r="C36" s="187" t="s">
        <v>304</v>
      </c>
      <c r="D36" s="188">
        <v>13575000</v>
      </c>
      <c r="E36" s="188">
        <v>73250000</v>
      </c>
      <c r="F36" s="188">
        <v>85800000</v>
      </c>
      <c r="G36" s="188">
        <v>111860000</v>
      </c>
      <c r="H36" s="188">
        <v>125830000</v>
      </c>
      <c r="I36" s="188">
        <v>113525000</v>
      </c>
      <c r="J36" s="188">
        <v>115975000</v>
      </c>
      <c r="K36" s="188">
        <v>144250000</v>
      </c>
      <c r="L36" s="188">
        <v>96050000</v>
      </c>
      <c r="M36" s="188">
        <v>91130000</v>
      </c>
      <c r="N36" s="188">
        <v>87075000</v>
      </c>
      <c r="O36" s="188">
        <v>44020000</v>
      </c>
      <c r="P36" s="212">
        <f t="shared" si="6"/>
        <v>1102340000</v>
      </c>
      <c r="Q36" s="191">
        <f t="shared" si="7"/>
        <v>9.6840738608976774E-3</v>
      </c>
    </row>
    <row r="37" spans="1:17" ht="20.25" customHeight="1" x14ac:dyDescent="0.2">
      <c r="A37" s="168" t="str">
        <f t="shared" si="4"/>
        <v>WAUCHULA -AC:[Projected Sales (KWH)]</v>
      </c>
      <c r="B37" s="186" t="s">
        <v>250</v>
      </c>
      <c r="C37" s="187" t="s">
        <v>305</v>
      </c>
      <c r="D37" s="188">
        <v>4479042.2992308401</v>
      </c>
      <c r="E37" s="188">
        <v>0</v>
      </c>
      <c r="F37" s="188">
        <v>0</v>
      </c>
      <c r="G37" s="188">
        <v>0</v>
      </c>
      <c r="H37" s="188">
        <v>0</v>
      </c>
      <c r="I37" s="188">
        <v>0</v>
      </c>
      <c r="J37" s="188">
        <v>0</v>
      </c>
      <c r="K37" s="188">
        <v>0</v>
      </c>
      <c r="L37" s="188">
        <v>0</v>
      </c>
      <c r="M37" s="188">
        <v>0</v>
      </c>
      <c r="N37" s="188">
        <v>0</v>
      </c>
      <c r="O37" s="188">
        <v>0</v>
      </c>
      <c r="P37" s="212">
        <f t="shared" si="6"/>
        <v>4479042.2992308401</v>
      </c>
      <c r="Q37" s="191">
        <f>+P37/$P$41</f>
        <v>3.9348455514484107E-5</v>
      </c>
    </row>
    <row r="38" spans="1:17" ht="20.25" customHeight="1" x14ac:dyDescent="0.2">
      <c r="A38" s="168" t="str">
        <f t="shared" si="4"/>
        <v>WINTER PARK -AC:[Projected Sales (KWH)]</v>
      </c>
      <c r="B38" s="186" t="s">
        <v>251</v>
      </c>
      <c r="C38" s="187" t="s">
        <v>306</v>
      </c>
      <c r="D38" s="188">
        <v>18631660.261500001</v>
      </c>
      <c r="E38" s="188">
        <v>240000</v>
      </c>
      <c r="F38" s="188">
        <v>0</v>
      </c>
      <c r="G38" s="188">
        <v>0</v>
      </c>
      <c r="H38" s="188">
        <v>0</v>
      </c>
      <c r="I38" s="188">
        <v>0</v>
      </c>
      <c r="J38" s="188">
        <v>0</v>
      </c>
      <c r="K38" s="188">
        <v>0</v>
      </c>
      <c r="L38" s="188">
        <v>240000</v>
      </c>
      <c r="M38" s="188">
        <v>0</v>
      </c>
      <c r="N38" s="188">
        <v>0</v>
      </c>
      <c r="O38" s="188">
        <v>0</v>
      </c>
      <c r="P38" s="212">
        <f t="shared" ref="P38" si="8">SUM(D38:O38)</f>
        <v>19111660.261500001</v>
      </c>
      <c r="Q38" s="191">
        <f>+P38/$P$41</f>
        <v>1.6789622945438706E-4</v>
      </c>
    </row>
    <row r="39" spans="1:17" ht="20.25" customHeight="1" x14ac:dyDescent="0.25">
      <c r="B39" s="192" t="s">
        <v>307</v>
      </c>
      <c r="C39" s="193"/>
      <c r="D39" s="194">
        <f>SUM(D30:D38)</f>
        <v>401672960.24525142</v>
      </c>
      <c r="E39" s="194">
        <f t="shared" ref="E39:O39" si="9">SUM(E30:E38)</f>
        <v>414705321.06865263</v>
      </c>
      <c r="F39" s="194">
        <f t="shared" si="9"/>
        <v>415216364.5789175</v>
      </c>
      <c r="G39" s="194">
        <f t="shared" si="9"/>
        <v>500437493.55396408</v>
      </c>
      <c r="H39" s="194">
        <f t="shared" si="9"/>
        <v>548136495.63269687</v>
      </c>
      <c r="I39" s="194">
        <f t="shared" si="9"/>
        <v>549160109.5957886</v>
      </c>
      <c r="J39" s="194">
        <f t="shared" si="9"/>
        <v>569934140.67815101</v>
      </c>
      <c r="K39" s="194">
        <f t="shared" si="9"/>
        <v>583495773.74630463</v>
      </c>
      <c r="L39" s="194">
        <f t="shared" si="9"/>
        <v>560768501.48688114</v>
      </c>
      <c r="M39" s="194">
        <f t="shared" si="9"/>
        <v>537563729.09537613</v>
      </c>
      <c r="N39" s="194">
        <f t="shared" si="9"/>
        <v>496035163.06884217</v>
      </c>
      <c r="O39" s="194">
        <f t="shared" si="9"/>
        <v>410386124.07739043</v>
      </c>
      <c r="P39" s="213">
        <f>SUM(P30:P38)</f>
        <v>5987512176.8282166</v>
      </c>
      <c r="Q39" s="197">
        <f>+P39/$P$41</f>
        <v>5.2600386598897507E-2</v>
      </c>
    </row>
    <row r="40" spans="1:17" ht="20.25" customHeight="1" x14ac:dyDescent="0.2">
      <c r="B40" s="198"/>
      <c r="C40" s="183"/>
      <c r="D40" s="188"/>
      <c r="E40" s="188"/>
      <c r="F40" s="188"/>
      <c r="G40" s="188"/>
      <c r="H40" s="188"/>
      <c r="I40" s="188"/>
      <c r="J40" s="188"/>
      <c r="K40" s="188"/>
      <c r="L40" s="188"/>
      <c r="M40" s="188"/>
      <c r="N40" s="188"/>
      <c r="O40" s="188"/>
      <c r="P40" s="212"/>
      <c r="Q40" s="185"/>
    </row>
    <row r="41" spans="1:17" ht="20.25" customHeight="1" thickBot="1" x14ac:dyDescent="0.3">
      <c r="B41" s="199" t="s">
        <v>308</v>
      </c>
      <c r="C41" s="200"/>
      <c r="D41" s="201">
        <f t="shared" ref="D41:P41" si="10">+D27+D39</f>
        <v>9002627709.2452507</v>
      </c>
      <c r="E41" s="201">
        <f t="shared" si="10"/>
        <v>8084657255.0686531</v>
      </c>
      <c r="F41" s="201">
        <f t="shared" si="10"/>
        <v>8113126494.5789175</v>
      </c>
      <c r="G41" s="201">
        <f t="shared" si="10"/>
        <v>8405761370.5539637</v>
      </c>
      <c r="H41" s="201">
        <f t="shared" si="10"/>
        <v>9474536954.6326962</v>
      </c>
      <c r="I41" s="201">
        <f t="shared" si="10"/>
        <v>10332887763.595789</v>
      </c>
      <c r="J41" s="201">
        <f t="shared" si="10"/>
        <v>10973339770.67815</v>
      </c>
      <c r="K41" s="201">
        <f t="shared" si="10"/>
        <v>11124786117.746305</v>
      </c>
      <c r="L41" s="201">
        <f t="shared" si="10"/>
        <v>10870491067.486881</v>
      </c>
      <c r="M41" s="201">
        <f t="shared" si="10"/>
        <v>10050602047.095377</v>
      </c>
      <c r="N41" s="201">
        <f t="shared" si="10"/>
        <v>8791947972.0688419</v>
      </c>
      <c r="O41" s="201">
        <f t="shared" si="10"/>
        <v>8605428827.0773907</v>
      </c>
      <c r="P41" s="214">
        <f t="shared" si="10"/>
        <v>113830193349.82822</v>
      </c>
      <c r="Q41" s="204">
        <f>SUM(Q27+Q39)</f>
        <v>1</v>
      </c>
    </row>
    <row r="42" spans="1:17" ht="20.25" customHeight="1" thickTop="1" thickBot="1" x14ac:dyDescent="0.25">
      <c r="B42" s="205"/>
      <c r="C42" s="206"/>
      <c r="D42" s="207"/>
      <c r="E42" s="207"/>
      <c r="F42" s="207"/>
      <c r="G42" s="207"/>
      <c r="H42" s="207"/>
      <c r="I42" s="207"/>
      <c r="J42" s="207"/>
      <c r="K42" s="207"/>
      <c r="L42" s="207"/>
      <c r="M42" s="207"/>
      <c r="N42" s="207"/>
      <c r="O42" s="207"/>
      <c r="P42" s="215"/>
      <c r="Q42" s="209"/>
    </row>
    <row r="43" spans="1:17" x14ac:dyDescent="0.2">
      <c r="D43" s="210"/>
      <c r="E43" s="210"/>
      <c r="F43" s="210"/>
      <c r="G43" s="210"/>
      <c r="H43" s="210"/>
      <c r="I43" s="210"/>
      <c r="J43" s="210"/>
      <c r="K43" s="210"/>
      <c r="L43" s="210"/>
      <c r="M43" s="210"/>
      <c r="N43" s="210"/>
      <c r="O43" s="210"/>
      <c r="P43" s="210"/>
    </row>
    <row r="44" spans="1:17" x14ac:dyDescent="0.2">
      <c r="D44" s="210"/>
      <c r="E44" s="210"/>
      <c r="F44" s="210"/>
      <c r="G44" s="210"/>
      <c r="H44" s="210"/>
      <c r="I44" s="210"/>
      <c r="J44" s="210"/>
      <c r="K44" s="210"/>
      <c r="L44" s="210"/>
      <c r="M44" s="210"/>
      <c r="N44" s="210"/>
      <c r="O44" s="210"/>
      <c r="P44" s="210"/>
    </row>
    <row r="46" spans="1:17" x14ac:dyDescent="0.2">
      <c r="B46" s="170" t="s">
        <v>33</v>
      </c>
    </row>
    <row r="47" spans="1:17" x14ac:dyDescent="0.2">
      <c r="B47" s="170" t="s">
        <v>248</v>
      </c>
    </row>
  </sheetData>
  <mergeCells count="1">
    <mergeCell ref="B8:C8"/>
  </mergeCells>
  <printOptions horizontalCentered="1"/>
  <pageMargins left="0.25" right="0.25" top="1" bottom="0.5" header="0.3" footer="0.3"/>
  <pageSetup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</vt:i4>
      </vt:variant>
    </vt:vector>
  </HeadingPairs>
  <TitlesOfParts>
    <vt:vector size="15" baseType="lpstr">
      <vt:lpstr>Summary</vt:lpstr>
      <vt:lpstr>12 CP &amp; 1-13th</vt:lpstr>
      <vt:lpstr>12 CP &amp; 25%</vt:lpstr>
      <vt:lpstr>Average GNCP &amp; Excess</vt:lpstr>
      <vt:lpstr>1CP &amp; AD</vt:lpstr>
      <vt:lpstr>12CP &amp; AD</vt:lpstr>
      <vt:lpstr>Allo Fac Detail  ---  RC - 2010</vt:lpstr>
      <vt:lpstr>2017 GNCP</vt:lpstr>
      <vt:lpstr>2017 SALES</vt:lpstr>
      <vt:lpstr>Total Average Demand</vt:lpstr>
      <vt:lpstr>System Load Factor</vt:lpstr>
      <vt:lpstr>4 CP &amp; 4 CP + Win</vt:lpstr>
      <vt:lpstr>2017 CP</vt:lpstr>
      <vt:lpstr>Summary!Print_Area</vt:lpstr>
      <vt:lpstr>'Allo Fac Detail  ---  RC - 2010'!Print_Titles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2016-08-01T14:40:23Z</dcterms:created>
  <dcterms:modified xsi:type="dcterms:W3CDTF">2016-08-01T14:40:27Z</dcterms:modified>
</cp:coreProperties>
</file>